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30" windowWidth="19020" windowHeight="11760" tabRatio="599"/>
  </bookViews>
  <sheets>
    <sheet name="OVERVIEW" sheetId="17" r:id="rId1"/>
    <sheet name="Instructions" sheetId="11" r:id="rId2"/>
    <sheet name="Emissions" sheetId="4" r:id="rId3"/>
    <sheet name="STW 1" sheetId="15" r:id="rId4"/>
    <sheet name="STW Graphs" sheetId="14" r:id="rId5"/>
    <sheet name="STW Assumptions" sheetId="18" r:id="rId6"/>
    <sheet name="Example" sheetId="16" r:id="rId7"/>
    <sheet name="Example STW" sheetId="50" r:id="rId8"/>
    <sheet name="Emission Source Examples" sheetId="13" r:id="rId9"/>
    <sheet name="STW 2" sheetId="51" r:id="rId10"/>
    <sheet name="STW 3" sheetId="52" r:id="rId11"/>
    <sheet name="STW 4" sheetId="53" r:id="rId12"/>
    <sheet name="STW 5" sheetId="54" r:id="rId13"/>
    <sheet name="STW 6" sheetId="55" r:id="rId14"/>
    <sheet name="STW 7" sheetId="56" r:id="rId15"/>
    <sheet name="STW 8" sheetId="57" r:id="rId16"/>
    <sheet name="STW 9" sheetId="58" r:id="rId17"/>
    <sheet name="STW 10" sheetId="59" r:id="rId18"/>
  </sheets>
  <definedNames>
    <definedName name="_xlnm.Print_Area" localSheetId="8">'Emission Source Examples'!$A$1:$D$13</definedName>
    <definedName name="_xlnm.Print_Area" localSheetId="2">Emissions!$B$1:$K$73</definedName>
    <definedName name="_xlnm.Print_Area" localSheetId="6">Example!$B$1:$K$81</definedName>
    <definedName name="_xlnm.Print_Area" localSheetId="7">'Example STW'!$A$1:$O$121</definedName>
    <definedName name="_xlnm.Print_Area" localSheetId="1">Instructions!$A$1:$L$32</definedName>
    <definedName name="_xlnm.Print_Area" localSheetId="0">OVERVIEW!$A$1:$M$27</definedName>
    <definedName name="_xlnm.Print_Area" localSheetId="3">'STW 1'!$A$1:$O$120</definedName>
    <definedName name="_xlnm.Print_Area" localSheetId="17">'STW 10'!$A$1:$O$120</definedName>
    <definedName name="_xlnm.Print_Area" localSheetId="9">'STW 2'!$A$1:$O$120</definedName>
    <definedName name="_xlnm.Print_Area" localSheetId="10">'STW 3'!$A$1:$O$120</definedName>
    <definedName name="_xlnm.Print_Area" localSheetId="11">'STW 4'!$A$1:$O$120</definedName>
    <definedName name="_xlnm.Print_Area" localSheetId="12">'STW 5'!$A$1:$O$120</definedName>
    <definedName name="_xlnm.Print_Area" localSheetId="13">'STW 6'!$A$1:$O$120</definedName>
    <definedName name="_xlnm.Print_Area" localSheetId="14">'STW 7'!$A$1:$O$120</definedName>
    <definedName name="_xlnm.Print_Area" localSheetId="15">'STW 8'!$A$1:$O$120</definedName>
    <definedName name="_xlnm.Print_Area" localSheetId="16">'STW 9'!$A$1:$O$120</definedName>
    <definedName name="_xlnm.Print_Area" localSheetId="5">'STW Assumptions'!$A$1:$O$126</definedName>
    <definedName name="_xlnm.Print_Area" localSheetId="4">'STW Graphs'!$A$1:$O$85</definedName>
    <definedName name="_xlnm.Print_Titles" localSheetId="2">Emissions!$B:$B,Emissions!$10:$12</definedName>
    <definedName name="_xlnm.Print_Titles" localSheetId="6">Example!$B:$B,Example!$17:$19</definedName>
    <definedName name="_xlnm.Print_Titles" localSheetId="7">'Example STW'!#REF!</definedName>
    <definedName name="_xlnm.Print_Titles" localSheetId="3">'STW 1'!#REF!</definedName>
    <definedName name="_xlnm.Print_Titles" localSheetId="17">'STW 10'!#REF!</definedName>
    <definedName name="_xlnm.Print_Titles" localSheetId="9">'STW 2'!#REF!</definedName>
    <definedName name="_xlnm.Print_Titles" localSheetId="10">'STW 3'!#REF!</definedName>
    <definedName name="_xlnm.Print_Titles" localSheetId="11">'STW 4'!#REF!</definedName>
    <definedName name="_xlnm.Print_Titles" localSheetId="12">'STW 5'!#REF!</definedName>
    <definedName name="_xlnm.Print_Titles" localSheetId="13">'STW 6'!#REF!</definedName>
    <definedName name="_xlnm.Print_Titles" localSheetId="14">'STW 7'!#REF!</definedName>
    <definedName name="_xlnm.Print_Titles" localSheetId="15">'STW 8'!#REF!</definedName>
    <definedName name="_xlnm.Print_Titles" localSheetId="16">'STW 9'!#REF!</definedName>
    <definedName name="_xlnm.Print_Titles" localSheetId="5">'STW Assumptions'!$1:$1</definedName>
    <definedName name="Table_1">#REF!</definedName>
    <definedName name="Table_2">#REF!</definedName>
    <definedName name="Table_3">#REF!</definedName>
    <definedName name="Table_4">#REF!</definedName>
  </definedNames>
  <calcPr calcId="125725" fullCalcOnLoad="1"/>
</workbook>
</file>

<file path=xl/calcChain.xml><?xml version="1.0" encoding="utf-8"?>
<calcChain xmlns="http://schemas.openxmlformats.org/spreadsheetml/2006/main">
  <c r="N10" i="59"/>
  <c r="N12"/>
  <c r="N18" s="1"/>
  <c r="N41"/>
  <c r="N56"/>
  <c r="N62"/>
  <c r="N10" i="58"/>
  <c r="N12"/>
  <c r="N18" s="1"/>
  <c r="N41"/>
  <c r="N56"/>
  <c r="N62"/>
  <c r="N10" i="57"/>
  <c r="N12"/>
  <c r="N18"/>
  <c r="N26"/>
  <c r="N31"/>
  <c r="N38"/>
  <c r="N41"/>
  <c r="N43"/>
  <c r="N46"/>
  <c r="N49"/>
  <c r="N56"/>
  <c r="N58"/>
  <c r="N62"/>
  <c r="L64"/>
  <c r="N66" s="1"/>
  <c r="N70" s="1"/>
  <c r="L72" s="1"/>
  <c r="N73" s="1"/>
  <c r="N81"/>
  <c r="N83"/>
  <c r="N10" i="56"/>
  <c r="N12"/>
  <c r="N18"/>
  <c r="N26"/>
  <c r="N31"/>
  <c r="N38"/>
  <c r="N41"/>
  <c r="N43"/>
  <c r="N46"/>
  <c r="N49"/>
  <c r="N56"/>
  <c r="N58"/>
  <c r="N62"/>
  <c r="L64"/>
  <c r="N66" s="1"/>
  <c r="N70" s="1"/>
  <c r="L72" s="1"/>
  <c r="N73" s="1"/>
  <c r="N81"/>
  <c r="N83"/>
  <c r="N10" i="55"/>
  <c r="N12"/>
  <c r="N18"/>
  <c r="N26"/>
  <c r="N31"/>
  <c r="N38"/>
  <c r="N41"/>
  <c r="N43"/>
  <c r="N46"/>
  <c r="N49"/>
  <c r="N56"/>
  <c r="N58"/>
  <c r="N62"/>
  <c r="L64"/>
  <c r="N66" s="1"/>
  <c r="N70" s="1"/>
  <c r="L72" s="1"/>
  <c r="N73" s="1"/>
  <c r="N81"/>
  <c r="N83"/>
  <c r="N10" i="54"/>
  <c r="N12"/>
  <c r="N18" s="1"/>
  <c r="N41"/>
  <c r="N56"/>
  <c r="N62"/>
  <c r="N10" i="53"/>
  <c r="N12"/>
  <c r="N18"/>
  <c r="N26"/>
  <c r="N31"/>
  <c r="N38"/>
  <c r="N41"/>
  <c r="N43"/>
  <c r="N46"/>
  <c r="N49"/>
  <c r="N56"/>
  <c r="N58"/>
  <c r="N62"/>
  <c r="L64"/>
  <c r="N66" s="1"/>
  <c r="N70" s="1"/>
  <c r="L72" s="1"/>
  <c r="N73" s="1"/>
  <c r="N81"/>
  <c r="N83"/>
  <c r="N10" i="52"/>
  <c r="N12"/>
  <c r="N18"/>
  <c r="N26"/>
  <c r="N31"/>
  <c r="N38"/>
  <c r="N41"/>
  <c r="N43"/>
  <c r="N46"/>
  <c r="N49"/>
  <c r="N56"/>
  <c r="N58"/>
  <c r="N62"/>
  <c r="L64"/>
  <c r="N66" s="1"/>
  <c r="N70" s="1"/>
  <c r="L72" s="1"/>
  <c r="N73" s="1"/>
  <c r="N81"/>
  <c r="N83"/>
  <c r="N10" i="51"/>
  <c r="N12"/>
  <c r="N18" s="1"/>
  <c r="N41"/>
  <c r="N56"/>
  <c r="N62"/>
  <c r="N12" i="15"/>
  <c r="N18"/>
  <c r="N26"/>
  <c r="N38"/>
  <c r="L64" s="1"/>
  <c r="N66" s="1"/>
  <c r="N70" s="1"/>
  <c r="L72" s="1"/>
  <c r="N73" s="1"/>
  <c r="N62"/>
  <c r="N81"/>
  <c r="N10" i="50"/>
  <c r="N12"/>
  <c r="N18"/>
  <c r="N26"/>
  <c r="N31"/>
  <c r="N38"/>
  <c r="L65" s="1"/>
  <c r="N67" s="1"/>
  <c r="N71" s="1"/>
  <c r="N41"/>
  <c r="N43"/>
  <c r="N46"/>
  <c r="N49"/>
  <c r="N56"/>
  <c r="N58"/>
  <c r="N63"/>
  <c r="N31" i="15"/>
  <c r="N23" i="16"/>
  <c r="N22"/>
  <c r="N21"/>
  <c r="N15" i="4"/>
  <c r="N46" i="15"/>
  <c r="N41"/>
  <c r="N43"/>
  <c r="N49" s="1"/>
  <c r="N58" s="1"/>
  <c r="N83" s="1"/>
  <c r="N56"/>
  <c r="G140" i="14"/>
  <c r="H140" s="1"/>
  <c r="L140"/>
  <c r="N140"/>
  <c r="G139"/>
  <c r="H139" s="1"/>
  <c r="L139"/>
  <c r="N139"/>
  <c r="G136"/>
  <c r="H136" s="1"/>
  <c r="M136" s="1"/>
  <c r="J136" s="1"/>
  <c r="N136"/>
  <c r="G135"/>
  <c r="H135" s="1"/>
  <c r="L135"/>
  <c r="N135"/>
  <c r="G138"/>
  <c r="H138" s="1"/>
  <c r="M138" s="1"/>
  <c r="J138" s="1"/>
  <c r="N138"/>
  <c r="G137"/>
  <c r="H137" s="1"/>
  <c r="L137"/>
  <c r="N137"/>
  <c r="G134"/>
  <c r="H134" s="1"/>
  <c r="M134" s="1"/>
  <c r="J134" s="1"/>
  <c r="N134"/>
  <c r="G133"/>
  <c r="H133" s="1"/>
  <c r="L133"/>
  <c r="N133"/>
  <c r="G152"/>
  <c r="H152" s="1"/>
  <c r="M152" s="1"/>
  <c r="J152" s="1"/>
  <c r="G151"/>
  <c r="L151" s="1"/>
  <c r="G150"/>
  <c r="H150" s="1"/>
  <c r="M150" s="1"/>
  <c r="J150" s="1"/>
  <c r="G149"/>
  <c r="L149" s="1"/>
  <c r="G148"/>
  <c r="H148" s="1"/>
  <c r="M148" s="1"/>
  <c r="J148" s="1"/>
  <c r="G147"/>
  <c r="L147" s="1"/>
  <c r="G146"/>
  <c r="H146" s="1"/>
  <c r="M146" s="1"/>
  <c r="J146" s="1"/>
  <c r="G145"/>
  <c r="L145" s="1"/>
  <c r="G144"/>
  <c r="H144" s="1"/>
  <c r="M144" s="1"/>
  <c r="J144" s="1"/>
  <c r="G143"/>
  <c r="L143" s="1"/>
  <c r="G142"/>
  <c r="H142" s="1"/>
  <c r="M142" s="1"/>
  <c r="J142" s="1"/>
  <c r="G141"/>
  <c r="L141" s="1"/>
  <c r="N152"/>
  <c r="N151"/>
  <c r="N150"/>
  <c r="N149"/>
  <c r="N148"/>
  <c r="N147"/>
  <c r="N146"/>
  <c r="N145"/>
  <c r="N144"/>
  <c r="N143"/>
  <c r="N142"/>
  <c r="N141"/>
  <c r="O16" i="4"/>
  <c r="O14"/>
  <c r="N16"/>
  <c r="N10" i="15"/>
  <c r="D125" i="14"/>
  <c r="D124"/>
  <c r="D123"/>
  <c r="D122"/>
  <c r="G21" i="16"/>
  <c r="H21"/>
  <c r="I21"/>
  <c r="J21"/>
  <c r="K21"/>
  <c r="G23"/>
  <c r="H23"/>
  <c r="I23"/>
  <c r="J23"/>
  <c r="K23"/>
  <c r="H24"/>
  <c r="I24"/>
  <c r="J24"/>
  <c r="K24"/>
  <c r="G27"/>
  <c r="H27"/>
  <c r="K27" s="1"/>
  <c r="I27"/>
  <c r="J27"/>
  <c r="G28"/>
  <c r="H28"/>
  <c r="I28"/>
  <c r="J28"/>
  <c r="K28"/>
  <c r="G29"/>
  <c r="H29"/>
  <c r="K29" s="1"/>
  <c r="I29"/>
  <c r="J29"/>
  <c r="G30"/>
  <c r="H30"/>
  <c r="I30"/>
  <c r="J30"/>
  <c r="K30"/>
  <c r="G31"/>
  <c r="H31"/>
  <c r="K31" s="1"/>
  <c r="I31"/>
  <c r="J31"/>
  <c r="G32"/>
  <c r="H32"/>
  <c r="I32"/>
  <c r="J32"/>
  <c r="K32"/>
  <c r="G33"/>
  <c r="H33"/>
  <c r="K33" s="1"/>
  <c r="I33"/>
  <c r="J33"/>
  <c r="J35" s="1"/>
  <c r="J79" s="1"/>
  <c r="G34"/>
  <c r="H34"/>
  <c r="I34"/>
  <c r="J34"/>
  <c r="K34"/>
  <c r="I35"/>
  <c r="G38"/>
  <c r="H38"/>
  <c r="K38" s="1"/>
  <c r="I38"/>
  <c r="J38"/>
  <c r="G39"/>
  <c r="H39"/>
  <c r="I39"/>
  <c r="J39"/>
  <c r="K39"/>
  <c r="G40"/>
  <c r="H40"/>
  <c r="K40" s="1"/>
  <c r="I40"/>
  <c r="J40"/>
  <c r="G41"/>
  <c r="H41"/>
  <c r="I41"/>
  <c r="J41"/>
  <c r="K41"/>
  <c r="G42"/>
  <c r="H42"/>
  <c r="K42" s="1"/>
  <c r="I42"/>
  <c r="J42"/>
  <c r="G43"/>
  <c r="H43"/>
  <c r="I43"/>
  <c r="I47" s="1"/>
  <c r="J43"/>
  <c r="K43"/>
  <c r="G44"/>
  <c r="H44"/>
  <c r="K44" s="1"/>
  <c r="I44"/>
  <c r="J44"/>
  <c r="G45"/>
  <c r="H45"/>
  <c r="I45"/>
  <c r="J45"/>
  <c r="K45"/>
  <c r="G46"/>
  <c r="H46"/>
  <c r="K46" s="1"/>
  <c r="I46"/>
  <c r="J46"/>
  <c r="H47"/>
  <c r="J47"/>
  <c r="G50"/>
  <c r="H50"/>
  <c r="I50"/>
  <c r="J50"/>
  <c r="K50"/>
  <c r="G51"/>
  <c r="H51"/>
  <c r="K51" s="1"/>
  <c r="I51"/>
  <c r="J51"/>
  <c r="G52"/>
  <c r="H52"/>
  <c r="I52"/>
  <c r="J52"/>
  <c r="K52"/>
  <c r="G53"/>
  <c r="H53"/>
  <c r="K53" s="1"/>
  <c r="I53"/>
  <c r="J53"/>
  <c r="G54"/>
  <c r="H54"/>
  <c r="I54"/>
  <c r="J54"/>
  <c r="K54"/>
  <c r="G55"/>
  <c r="H55"/>
  <c r="K55" s="1"/>
  <c r="I55"/>
  <c r="J55"/>
  <c r="J61" s="1"/>
  <c r="G56"/>
  <c r="H56"/>
  <c r="I56"/>
  <c r="J56"/>
  <c r="K56"/>
  <c r="G57"/>
  <c r="H57"/>
  <c r="K57" s="1"/>
  <c r="I57"/>
  <c r="J57"/>
  <c r="G58"/>
  <c r="H58"/>
  <c r="I58"/>
  <c r="J58"/>
  <c r="K58"/>
  <c r="G59"/>
  <c r="H59"/>
  <c r="K59" s="1"/>
  <c r="I59"/>
  <c r="J59"/>
  <c r="G60"/>
  <c r="H60"/>
  <c r="I60"/>
  <c r="J60"/>
  <c r="K60"/>
  <c r="I61"/>
  <c r="G64"/>
  <c r="H64"/>
  <c r="K64" s="1"/>
  <c r="I64"/>
  <c r="J64"/>
  <c r="G65"/>
  <c r="H65"/>
  <c r="I65"/>
  <c r="I69" s="1"/>
  <c r="J65"/>
  <c r="K65"/>
  <c r="G66"/>
  <c r="H66"/>
  <c r="K66" s="1"/>
  <c r="I66"/>
  <c r="J66"/>
  <c r="G67"/>
  <c r="H67"/>
  <c r="I67"/>
  <c r="J67"/>
  <c r="K67"/>
  <c r="G68"/>
  <c r="H68"/>
  <c r="K68" s="1"/>
  <c r="I68"/>
  <c r="J68"/>
  <c r="H69"/>
  <c r="J69"/>
  <c r="G72"/>
  <c r="K72"/>
  <c r="I73"/>
  <c r="K73"/>
  <c r="G74"/>
  <c r="H74"/>
  <c r="I74"/>
  <c r="J74"/>
  <c r="K74"/>
  <c r="G76"/>
  <c r="J76"/>
  <c r="K76" s="1"/>
  <c r="K77" s="1"/>
  <c r="J77"/>
  <c r="D126" i="14"/>
  <c r="I44" i="4"/>
  <c r="J44"/>
  <c r="I45"/>
  <c r="J45"/>
  <c r="I46"/>
  <c r="J46"/>
  <c r="I47"/>
  <c r="J47"/>
  <c r="I48"/>
  <c r="J48"/>
  <c r="I49"/>
  <c r="J49"/>
  <c r="I50"/>
  <c r="J50"/>
  <c r="I51"/>
  <c r="J51"/>
  <c r="I52"/>
  <c r="J52"/>
  <c r="I53"/>
  <c r="J53"/>
  <c r="I43"/>
  <c r="I54" s="1"/>
  <c r="J43"/>
  <c r="J54" s="1"/>
  <c r="J69"/>
  <c r="K69" s="1"/>
  <c r="K70" s="1"/>
  <c r="H57"/>
  <c r="I57"/>
  <c r="J57"/>
  <c r="K57"/>
  <c r="K62" s="1"/>
  <c r="H58"/>
  <c r="I58"/>
  <c r="J58"/>
  <c r="K58"/>
  <c r="H59"/>
  <c r="I59"/>
  <c r="J59"/>
  <c r="K59"/>
  <c r="H60"/>
  <c r="I60"/>
  <c r="J60"/>
  <c r="K60"/>
  <c r="H61"/>
  <c r="I61"/>
  <c r="J61"/>
  <c r="K61"/>
  <c r="G14"/>
  <c r="K14" s="1"/>
  <c r="K17" s="1"/>
  <c r="G16"/>
  <c r="K16" s="1"/>
  <c r="H20"/>
  <c r="I20"/>
  <c r="J20"/>
  <c r="K20"/>
  <c r="K28" s="1"/>
  <c r="H21"/>
  <c r="I21"/>
  <c r="J21"/>
  <c r="K21"/>
  <c r="H22"/>
  <c r="I22"/>
  <c r="J22"/>
  <c r="K22"/>
  <c r="H23"/>
  <c r="I23"/>
  <c r="J23"/>
  <c r="K23"/>
  <c r="H24"/>
  <c r="I24"/>
  <c r="J24"/>
  <c r="K24"/>
  <c r="H25"/>
  <c r="I25"/>
  <c r="J25"/>
  <c r="K25"/>
  <c r="H26"/>
  <c r="I26"/>
  <c r="J26"/>
  <c r="K26"/>
  <c r="H27"/>
  <c r="I27"/>
  <c r="J27"/>
  <c r="K27"/>
  <c r="H31"/>
  <c r="K31" s="1"/>
  <c r="I31"/>
  <c r="J31"/>
  <c r="J40" s="1"/>
  <c r="H32"/>
  <c r="K32" s="1"/>
  <c r="I32"/>
  <c r="J32"/>
  <c r="H33"/>
  <c r="K33" s="1"/>
  <c r="I33"/>
  <c r="J33"/>
  <c r="H34"/>
  <c r="K34" s="1"/>
  <c r="I34"/>
  <c r="J34"/>
  <c r="H35"/>
  <c r="K35" s="1"/>
  <c r="I35"/>
  <c r="J35"/>
  <c r="H36"/>
  <c r="K36" s="1"/>
  <c r="I36"/>
  <c r="J36"/>
  <c r="H37"/>
  <c r="K37" s="1"/>
  <c r="I37"/>
  <c r="J37"/>
  <c r="H38"/>
  <c r="K38" s="1"/>
  <c r="I38"/>
  <c r="J38"/>
  <c r="H39"/>
  <c r="K39" s="1"/>
  <c r="I39"/>
  <c r="J39"/>
  <c r="H43"/>
  <c r="K43"/>
  <c r="K54" s="1"/>
  <c r="H44"/>
  <c r="K44"/>
  <c r="H45"/>
  <c r="K45"/>
  <c r="H46"/>
  <c r="K46"/>
  <c r="H47"/>
  <c r="K47"/>
  <c r="H48"/>
  <c r="K48"/>
  <c r="H49"/>
  <c r="K49"/>
  <c r="H50"/>
  <c r="K50"/>
  <c r="H51"/>
  <c r="K51"/>
  <c r="H52"/>
  <c r="K52"/>
  <c r="H53"/>
  <c r="K53"/>
  <c r="K65"/>
  <c r="K66" s="1"/>
  <c r="J70"/>
  <c r="J62"/>
  <c r="J14"/>
  <c r="J16"/>
  <c r="J17" s="1"/>
  <c r="J28"/>
  <c r="H62"/>
  <c r="H14"/>
  <c r="H17" s="1"/>
  <c r="H72" s="1"/>
  <c r="H16"/>
  <c r="H28"/>
  <c r="H40"/>
  <c r="H54"/>
  <c r="I66"/>
  <c r="I62"/>
  <c r="I14"/>
  <c r="I16"/>
  <c r="I17" s="1"/>
  <c r="I72" s="1"/>
  <c r="I28"/>
  <c r="I40"/>
  <c r="G20"/>
  <c r="G21"/>
  <c r="G22"/>
  <c r="G23"/>
  <c r="G24"/>
  <c r="G25"/>
  <c r="G26"/>
  <c r="G27"/>
  <c r="N14"/>
  <c r="H67"/>
  <c r="K67" s="1"/>
  <c r="I67"/>
  <c r="J67"/>
  <c r="G67"/>
  <c r="G69"/>
  <c r="G65"/>
  <c r="G61"/>
  <c r="G60"/>
  <c r="G59"/>
  <c r="G58"/>
  <c r="G57"/>
  <c r="G39"/>
  <c r="G38"/>
  <c r="G37"/>
  <c r="G36"/>
  <c r="G35"/>
  <c r="G34"/>
  <c r="G33"/>
  <c r="G32"/>
  <c r="G31"/>
  <c r="G53"/>
  <c r="G49"/>
  <c r="G52"/>
  <c r="G51"/>
  <c r="G50"/>
  <c r="G48"/>
  <c r="G47"/>
  <c r="G46"/>
  <c r="G45"/>
  <c r="G44"/>
  <c r="G43"/>
  <c r="M133" i="14" l="1"/>
  <c r="J133" s="1"/>
  <c r="R133"/>
  <c r="P134"/>
  <c r="O134"/>
  <c r="M135"/>
  <c r="J135" s="1"/>
  <c r="R135"/>
  <c r="P136"/>
  <c r="O136"/>
  <c r="M140"/>
  <c r="J140" s="1"/>
  <c r="R140"/>
  <c r="N26" i="51"/>
  <c r="N31"/>
  <c r="N46" s="1"/>
  <c r="N81"/>
  <c r="N26" i="58"/>
  <c r="N31"/>
  <c r="N46" s="1"/>
  <c r="N81"/>
  <c r="J72" i="4"/>
  <c r="K69" i="16"/>
  <c r="K61"/>
  <c r="I79"/>
  <c r="K35"/>
  <c r="P142" i="14"/>
  <c r="O142"/>
  <c r="P144"/>
  <c r="O144"/>
  <c r="P146"/>
  <c r="O146"/>
  <c r="P148"/>
  <c r="O148"/>
  <c r="P150"/>
  <c r="O150"/>
  <c r="P152"/>
  <c r="O152"/>
  <c r="M137"/>
  <c r="J137" s="1"/>
  <c r="R137"/>
  <c r="P138"/>
  <c r="O138"/>
  <c r="M139"/>
  <c r="J139" s="1"/>
  <c r="R139"/>
  <c r="L73" i="50"/>
  <c r="N74" s="1"/>
  <c r="N82" s="1"/>
  <c r="N84" s="1"/>
  <c r="N26" i="54"/>
  <c r="N31"/>
  <c r="N46" s="1"/>
  <c r="N81"/>
  <c r="N26" i="59"/>
  <c r="N31"/>
  <c r="N46" s="1"/>
  <c r="N81"/>
  <c r="K40" i="4"/>
  <c r="K72" s="1"/>
  <c r="K47" i="16"/>
  <c r="Q134" i="14"/>
  <c r="S134" s="1"/>
  <c r="Q136"/>
  <c r="S136" s="1"/>
  <c r="Q138"/>
  <c r="S138" s="1"/>
  <c r="Q142"/>
  <c r="S142" s="1"/>
  <c r="Q144"/>
  <c r="S144" s="1"/>
  <c r="Q146"/>
  <c r="S146" s="1"/>
  <c r="Q148"/>
  <c r="S148" s="1"/>
  <c r="Q150"/>
  <c r="S150" s="1"/>
  <c r="Q152"/>
  <c r="S152" s="1"/>
  <c r="H141"/>
  <c r="M141" s="1"/>
  <c r="J141" s="1"/>
  <c r="H143"/>
  <c r="M143" s="1"/>
  <c r="J143" s="1"/>
  <c r="H145"/>
  <c r="M145" s="1"/>
  <c r="J145" s="1"/>
  <c r="H147"/>
  <c r="M147" s="1"/>
  <c r="J147" s="1"/>
  <c r="H149"/>
  <c r="M149" s="1"/>
  <c r="J149" s="1"/>
  <c r="H151"/>
  <c r="M151" s="1"/>
  <c r="J151" s="1"/>
  <c r="H61" i="16"/>
  <c r="H35"/>
  <c r="H79" s="1"/>
  <c r="R141" i="14"/>
  <c r="R142"/>
  <c r="L142"/>
  <c r="R143"/>
  <c r="L144"/>
  <c r="R144" s="1"/>
  <c r="U144" s="1"/>
  <c r="R145"/>
  <c r="R146"/>
  <c r="L146"/>
  <c r="R147"/>
  <c r="L148"/>
  <c r="R148" s="1"/>
  <c r="U148" s="1"/>
  <c r="R149"/>
  <c r="R150"/>
  <c r="L150"/>
  <c r="R151"/>
  <c r="L152"/>
  <c r="R152" s="1"/>
  <c r="U152" s="1"/>
  <c r="L134"/>
  <c r="R134" s="1"/>
  <c r="U134" s="1"/>
  <c r="E117" s="1"/>
  <c r="L138"/>
  <c r="R138" s="1"/>
  <c r="U138" s="1"/>
  <c r="H117" s="1"/>
  <c r="L136"/>
  <c r="R136" s="1"/>
  <c r="H123" l="1"/>
  <c r="H119"/>
  <c r="H125" s="1"/>
  <c r="H126" s="1"/>
  <c r="H118"/>
  <c r="H124" s="1"/>
  <c r="E118"/>
  <c r="E124" s="1"/>
  <c r="E119"/>
  <c r="E125" s="1"/>
  <c r="E126" s="1"/>
  <c r="E123"/>
  <c r="U136"/>
  <c r="K117" s="1"/>
  <c r="O151"/>
  <c r="P151"/>
  <c r="O147"/>
  <c r="P147"/>
  <c r="O149"/>
  <c r="P149"/>
  <c r="O145"/>
  <c r="P145"/>
  <c r="O141"/>
  <c r="P141"/>
  <c r="N38" i="59"/>
  <c r="N38" i="54"/>
  <c r="O139" i="14"/>
  <c r="P139"/>
  <c r="O137"/>
  <c r="P137"/>
  <c r="N38" i="58"/>
  <c r="N38" i="51"/>
  <c r="P140" i="14"/>
  <c r="O140"/>
  <c r="O135"/>
  <c r="P135"/>
  <c r="O133"/>
  <c r="P133"/>
  <c r="U150"/>
  <c r="U146"/>
  <c r="U142"/>
  <c r="O143"/>
  <c r="P143"/>
  <c r="K79" i="16"/>
  <c r="Q143" i="14" l="1"/>
  <c r="S143" s="1"/>
  <c r="U143" s="1"/>
  <c r="Q140"/>
  <c r="S140" s="1"/>
  <c r="U140" s="1"/>
  <c r="N43" i="58"/>
  <c r="N49" s="1"/>
  <c r="N58" s="1"/>
  <c r="N83" s="1"/>
  <c r="L64"/>
  <c r="N66" s="1"/>
  <c r="N70" s="1"/>
  <c r="L72" s="1"/>
  <c r="N73" s="1"/>
  <c r="N43" i="59"/>
  <c r="N49" s="1"/>
  <c r="N58" s="1"/>
  <c r="N83" s="1"/>
  <c r="L64"/>
  <c r="N66" s="1"/>
  <c r="N70" s="1"/>
  <c r="L72" s="1"/>
  <c r="N73" s="1"/>
  <c r="Q133" i="14"/>
  <c r="S133" s="1"/>
  <c r="U133" s="1"/>
  <c r="E116" s="1"/>
  <c r="E122" s="1"/>
  <c r="Q135"/>
  <c r="S135" s="1"/>
  <c r="U135" s="1"/>
  <c r="K116" s="1"/>
  <c r="K122" s="1"/>
  <c r="Q137"/>
  <c r="S137"/>
  <c r="U137" s="1"/>
  <c r="H116" s="1"/>
  <c r="H122" s="1"/>
  <c r="Q139"/>
  <c r="S139" s="1"/>
  <c r="U139" s="1"/>
  <c r="Q141"/>
  <c r="S141" s="1"/>
  <c r="U141" s="1"/>
  <c r="Q145"/>
  <c r="S145" s="1"/>
  <c r="U145" s="1"/>
  <c r="Q149"/>
  <c r="S149" s="1"/>
  <c r="U149" s="1"/>
  <c r="Q147"/>
  <c r="S147" s="1"/>
  <c r="U147" s="1"/>
  <c r="Q151"/>
  <c r="S151" s="1"/>
  <c r="U151" s="1"/>
  <c r="K119"/>
  <c r="K125" s="1"/>
  <c r="K126" s="1"/>
  <c r="K118"/>
  <c r="K124" s="1"/>
  <c r="K123"/>
  <c r="N43" i="51"/>
  <c r="N49" s="1"/>
  <c r="N58" s="1"/>
  <c r="N83" s="1"/>
  <c r="L64"/>
  <c r="N66" s="1"/>
  <c r="N70" s="1"/>
  <c r="L72" s="1"/>
  <c r="N73" s="1"/>
  <c r="N43" i="54"/>
  <c r="N49" s="1"/>
  <c r="N58" s="1"/>
  <c r="N83" s="1"/>
  <c r="L64"/>
  <c r="N66" s="1"/>
  <c r="N70" s="1"/>
  <c r="L72" s="1"/>
  <c r="N73" s="1"/>
  <c r="Q117" i="14" l="1"/>
  <c r="N117"/>
  <c r="Q116"/>
  <c r="Q122" s="1"/>
  <c r="N116"/>
  <c r="N122" s="1"/>
  <c r="N123" l="1"/>
  <c r="N119"/>
  <c r="N125" s="1"/>
  <c r="N126" s="1"/>
  <c r="N118"/>
  <c r="N124" s="1"/>
  <c r="Q119"/>
  <c r="Q125" s="1"/>
  <c r="Q126" s="1"/>
  <c r="Q118"/>
  <c r="Q124" s="1"/>
  <c r="Q123"/>
</calcChain>
</file>

<file path=xl/comments1.xml><?xml version="1.0" encoding="utf-8"?>
<comments xmlns="http://schemas.openxmlformats.org/spreadsheetml/2006/main">
  <authors>
    <author>vaughana</author>
  </authors>
  <commentList>
    <comment ref="I65" authorId="0">
      <text>
        <r>
          <rPr>
            <b/>
            <sz val="8"/>
            <color indexed="81"/>
            <rFont val="Tahoma"/>
          </rPr>
          <t>Enter emissions from the STW worksheet or from the STW Graphs worksheet</t>
        </r>
      </text>
    </comment>
    <comment ref="F69" authorId="0">
      <text>
        <r>
          <rPr>
            <b/>
            <sz val="8"/>
            <color indexed="81"/>
            <rFont val="Tahoma"/>
            <family val="2"/>
          </rPr>
          <t>Enter Carbon sequestered as a negative value.</t>
        </r>
      </text>
    </comment>
  </commentList>
</comments>
</file>

<file path=xl/comments2.xml><?xml version="1.0" encoding="utf-8"?>
<comments xmlns="http://schemas.openxmlformats.org/spreadsheetml/2006/main">
  <authors>
    <author>vaughana</author>
  </authors>
  <commentList>
    <comment ref="I72" authorId="0">
      <text>
        <r>
          <rPr>
            <b/>
            <sz val="8"/>
            <color indexed="81"/>
            <rFont val="Tahoma"/>
          </rPr>
          <t>Enter emissions calculated using the STW worksheet</t>
        </r>
      </text>
    </comment>
    <comment ref="F76" authorId="0">
      <text>
        <r>
          <rPr>
            <b/>
            <sz val="8"/>
            <color indexed="81"/>
            <rFont val="Tahoma"/>
            <family val="2"/>
          </rPr>
          <t>Enter Carbon sequestered as a negative value.</t>
        </r>
      </text>
    </comment>
  </commentList>
</comments>
</file>

<file path=xl/sharedStrings.xml><?xml version="1.0" encoding="utf-8"?>
<sst xmlns="http://schemas.openxmlformats.org/spreadsheetml/2006/main" count="2478" uniqueCount="470">
  <si>
    <t>http://www.climatechange.gov.au/en/government/initiatives/national-greenhouse-energy-reporting.aspx</t>
  </si>
  <si>
    <t>(ie. other than estuarine or open coastal waters)</t>
  </si>
  <si>
    <t>Dry mass to landfill Mtrl</t>
  </si>
  <si>
    <r>
      <t>Nitrogen discharged to enclosed waters</t>
    </r>
    <r>
      <rPr>
        <sz val="10"/>
        <rFont val="Arial Narrow"/>
        <family val="2"/>
      </rPr>
      <t xml:space="preserve"> (Nencw) (default Nin - Nslout)</t>
    </r>
  </si>
  <si>
    <r>
      <t>Methane captured from biogas</t>
    </r>
    <r>
      <rPr>
        <sz val="10"/>
        <rFont val="Arial Narrow"/>
        <family val="2"/>
      </rPr>
      <t xml:space="preserve"> R = 0.0142464 x Q  OR  tonnes methane recovered</t>
    </r>
  </si>
  <si>
    <r>
      <t>Dry mass of sludge transferred to landfill</t>
    </r>
    <r>
      <rPr>
        <sz val="10"/>
        <rFont val="Arial Narrow"/>
        <family val="2"/>
      </rPr>
      <t xml:space="preserve"> (Mtrl) (default CODtrl)</t>
    </r>
  </si>
  <si>
    <t>where Mtrl is the dry mass of sludge transferred to landfill (default assumed to be CODtrl)</t>
  </si>
  <si>
    <t>assume CODtrl</t>
  </si>
  <si>
    <r>
      <t xml:space="preserve">is shown in the green tab </t>
    </r>
    <r>
      <rPr>
        <b/>
        <sz val="10"/>
        <rFont val="Arial Narrow"/>
        <family val="2"/>
      </rPr>
      <t>Example STW</t>
    </r>
    <r>
      <rPr>
        <sz val="10"/>
        <rFont val="Arial Narrow"/>
        <family val="2"/>
      </rPr>
      <t xml:space="preserve"> and is 216 t CO2-e </t>
    </r>
  </si>
  <si>
    <t>The total greenhouse gas emissions are shown below as 749t CO2-e (207t  for water supply, 528t for sewerage and 14t for Other).</t>
  </si>
  <si>
    <t xml:space="preserve">It is only necessary to insert the STW identifier in blue cell above and enter data in the blue cells below (steps 2 and 7). </t>
  </si>
  <si>
    <t>Green cells may be left blank or data can be inserted if available. Total emissions are calculated at step 16.</t>
  </si>
  <si>
    <t>eg. methane recovered in a digester</t>
  </si>
  <si>
    <t>where EFsecij is the emission factor for wastewater treatment  with default value of  4.9 tonnes N2O measured in CO2-e per tonne nitrogen</t>
  </si>
  <si>
    <t>The Federal Government provides guidance in the calculation of emissions and has published supporting information including tables of conversion factors, formula for the calculation of emissions from sewage treatment works and a calculator (see National Greenhouse and Energy Reporting 2011 published by the Federal Department of Climate Change and Energy Efficiency at the following web address:</t>
  </si>
  <si>
    <r>
      <t xml:space="preserve">Total Methane Emissions = CH4genww + CH4gensl - methane captured   </t>
    </r>
    <r>
      <rPr>
        <sz val="10"/>
        <rFont val="Arial Narrow"/>
        <family val="2"/>
      </rPr>
      <t xml:space="preserve"> in tonnes CO2-e</t>
    </r>
  </si>
  <si>
    <t>Greenhouse gas emissions for typical types of treatment are graphed below against population and inflow.</t>
  </si>
  <si>
    <t>Insert COD in sludge transferred out of the plant to landfill (CODtrl). Else leave blank</t>
  </si>
  <si>
    <t>NOTE THAT METHANE RECOVERED IN A DIGESTER SHOULD BE DEDUCTED FROM THE TOTAL METHANE EMISSIONS SHOWN IN STEP 11</t>
  </si>
  <si>
    <t>The resulting emissions should be entered in your Performance Monitoring Database. This Calculator Spreadsheet is for guidance only and should not be forwarded to the Office of Water.</t>
  </si>
  <si>
    <t>Electricity purchased from NSW or ACT Grid</t>
  </si>
  <si>
    <t>Electricity purchased from QLD Grid</t>
  </si>
  <si>
    <t>The council also has an anaerobic lagoon &lt;2m deep.</t>
  </si>
  <si>
    <t>Example Council  2010-11</t>
  </si>
  <si>
    <t>Covered anaerobic lagoons</t>
  </si>
  <si>
    <t>In general, formulae and factors shown below have been adopted from the National Greenhouse And Energy System Measurement Technical Guidelines July 2011</t>
  </si>
  <si>
    <r>
      <t>Volatile solids in sludge</t>
    </r>
    <r>
      <rPr>
        <sz val="10"/>
        <rFont val="Arial Narrow"/>
        <family val="2"/>
      </rPr>
      <t xml:space="preserve"> (VS)</t>
    </r>
  </si>
  <si>
    <t>Insert volatile solids in primary sludge VSpsl (if known). Else leave blank.</t>
  </si>
  <si>
    <t>Insert volatile solids in waste activated sludge VSwasl (if known). Else leave blank.</t>
  </si>
  <si>
    <t>CODsl is calculated as (VSpsl x 1.99) plus (Vswasl x 1.48) if VS is known.</t>
  </si>
  <si>
    <t>If VS is unknown, either enter fraction of COD removed as sludge or leave blank.</t>
  </si>
  <si>
    <t>No.</t>
  </si>
  <si>
    <t>Insert methane recovered in digester in tonnes CO2-e if applicable</t>
  </si>
  <si>
    <r>
      <t>Nitrogen in sludge transferred to landfill</t>
    </r>
    <r>
      <rPr>
        <sz val="10"/>
        <rFont val="Arial Narrow"/>
        <family val="2"/>
      </rPr>
      <t xml:space="preserve"> Ntrl = 0.05 x Mtrl</t>
    </r>
  </si>
  <si>
    <t>The greenhouse gas emissions can be calculated using the NGER System Measurement Technical Guidelines July 2011 (NGER Guidelines).</t>
  </si>
  <si>
    <r>
      <t xml:space="preserve">Note that the orange tab </t>
    </r>
    <r>
      <rPr>
        <b/>
        <sz val="12"/>
        <rFont val="Arial Narrow"/>
        <family val="2"/>
      </rPr>
      <t>Emissions</t>
    </r>
    <r>
      <rPr>
        <sz val="12"/>
        <rFont val="Arial Narrow"/>
        <family val="2"/>
      </rPr>
      <t xml:space="preserve"> worksheet is based on Tables 1 to 4 of the Australian Government Department of Climate Change "National Greenhouse Accounts (NGA) Factors" July 2011. The NSW Office of Water will arrange for updating of this worksheet if Tables 1 to 4 are updated or when better information becomes available.</t>
    </r>
  </si>
  <si>
    <t>GUIDANCE FOR ESTIMATING GREENHOUSE GAS EMISSIONS BY NSW WATER UTILITIES - 2011</t>
  </si>
  <si>
    <t>Anaerobic shallow lagoon</t>
  </si>
  <si>
    <t>0.05*Mtrl</t>
  </si>
  <si>
    <t>Managed aerobic</t>
  </si>
  <si>
    <t>Unmanaged aerobic</t>
  </si>
  <si>
    <t>Anaerobic deep lagoon</t>
  </si>
  <si>
    <t>imhoff Tanks</t>
  </si>
  <si>
    <t>Anaerobic (digester)</t>
  </si>
  <si>
    <t>Insert the quantities of each fuel in the appropriate blue shaded cells.</t>
  </si>
  <si>
    <t>Collect the relevant data (quantities of each fuel combusted including electricity) for your water, sewerage and other operations.</t>
  </si>
  <si>
    <t>3.  Enter the carbon offset (if any) in the cell for sequestration.</t>
  </si>
  <si>
    <t>4.  The TOTAL Emissions (tonnes CO2-e) are shown at the bottom of the table.</t>
  </si>
  <si>
    <r>
      <t xml:space="preserve">Graphs have also been prepared based on typical STW operations for different inflows and populations.  These are shown at orange tab </t>
    </r>
    <r>
      <rPr>
        <b/>
        <sz val="10"/>
        <rFont val="Arial Narrow"/>
        <family val="2"/>
      </rPr>
      <t>STW Graphs</t>
    </r>
    <r>
      <rPr>
        <sz val="10"/>
        <rFont val="Arial Narrow"/>
        <family val="2"/>
      </rPr>
      <t>.</t>
    </r>
  </si>
  <si>
    <r>
      <t xml:space="preserve">These graphs are shown at the orange tab </t>
    </r>
    <r>
      <rPr>
        <b/>
        <sz val="10"/>
        <rFont val="Arial Narrow"/>
        <family val="2"/>
      </rPr>
      <t>STW Graphs.</t>
    </r>
    <r>
      <rPr>
        <sz val="10"/>
        <rFont val="Arial Narrow"/>
        <family val="2"/>
      </rPr>
      <t xml:space="preserve"> </t>
    </r>
  </si>
  <si>
    <t>Examples of Common Emission Sources in Water Supply and Sewerage</t>
  </si>
  <si>
    <r>
      <t>m</t>
    </r>
    <r>
      <rPr>
        <vertAlign val="superscript"/>
        <sz val="12"/>
        <rFont val="Arial Narrow"/>
        <family val="2"/>
      </rPr>
      <t>3</t>
    </r>
  </si>
  <si>
    <r>
      <t xml:space="preserve">*  </t>
    </r>
    <r>
      <rPr>
        <b/>
        <sz val="12"/>
        <rFont val="Arial Narrow"/>
        <family val="2"/>
      </rPr>
      <t>OTHER</t>
    </r>
    <r>
      <rPr>
        <sz val="12"/>
        <rFont val="Arial Narrow"/>
        <family val="2"/>
      </rPr>
      <t xml:space="preserve"> is the estimated water and sewerage component of the fuel used in Councils' office buildings and vehicles and can also include sequestration as an offset (ie. a negative value).</t>
    </r>
  </si>
  <si>
    <t>Intermittent Extended Aeration</t>
  </si>
  <si>
    <t>(If BOD in influent is known, COD can be calculated from BOD x 2.6).</t>
  </si>
  <si>
    <r>
      <t>COD in influent</t>
    </r>
    <r>
      <rPr>
        <sz val="10"/>
        <rFont val="Arial Narrow"/>
        <family val="2"/>
      </rPr>
      <t xml:space="preserve"> (CODw)</t>
    </r>
  </si>
  <si>
    <t>Insert actual population served by STW (if known). Else leave blank.</t>
  </si>
  <si>
    <r>
      <t>COD in sludge</t>
    </r>
    <r>
      <rPr>
        <sz val="10"/>
        <rFont val="Arial Narrow"/>
        <family val="2"/>
      </rPr>
      <t xml:space="preserve"> (CODsl)</t>
    </r>
  </si>
  <si>
    <r>
      <t>COD in effluent</t>
    </r>
    <r>
      <rPr>
        <sz val="10"/>
        <rFont val="Arial Narrow"/>
        <family val="2"/>
      </rPr>
      <t xml:space="preserve"> (CODeff)</t>
    </r>
  </si>
  <si>
    <t>Insert COD in effluent (if known). Else leave blank.</t>
  </si>
  <si>
    <t>Insert COD in influent (if known). Else leave blank.</t>
  </si>
  <si>
    <t>If COD or BOD in influent are unknown, COD in influent is estimated from the following approximation.</t>
  </si>
  <si>
    <t>(If BOD in effluent is known, COD can be calculated from BOD x 2.6).</t>
  </si>
  <si>
    <t>If COD or BOD in effluent are unknown, COD in effluent is estimated from the following approximation.</t>
  </si>
  <si>
    <t xml:space="preserve">     CODeff = 0.08 x CODw</t>
  </si>
  <si>
    <t>0.08 x CODw</t>
  </si>
  <si>
    <t>Utilities should review whether these assumptions are appropriate for their situation.</t>
  </si>
  <si>
    <t>B</t>
  </si>
  <si>
    <t>D</t>
  </si>
  <si>
    <t>Carbon Offsets</t>
  </si>
  <si>
    <t>Total Emissions</t>
  </si>
  <si>
    <t>Emissions from water and sewerage operations - excluding STWs</t>
  </si>
  <si>
    <t>However, the calculation of emissions is relatively complicated and, for sewage treatment works, requires the measurement or estimation of a number of factors. It requires the utility to assess the relevance and suitability of the appropriate factors and to apply these factors to its situation.</t>
  </si>
  <si>
    <r>
      <t xml:space="preserve">Calculation of emissions for an example utility is shown at the green tab </t>
    </r>
    <r>
      <rPr>
        <b/>
        <sz val="12"/>
        <rFont val="Arial Narrow"/>
        <family val="2"/>
      </rPr>
      <t>Example</t>
    </r>
    <r>
      <rPr>
        <sz val="12"/>
        <rFont val="Arial Narrow"/>
        <family val="2"/>
      </rPr>
      <t>.</t>
    </r>
  </si>
  <si>
    <t>Greenhouse gases are produced from the use of fossil fuel in a water utility's operations, including transport and office accommodation, and are also produced from the chemical reactions resulting from the processing of sewage in a sewage treatment works.</t>
  </si>
  <si>
    <t>A. Emissions from Water and Sewerage Operations - excluding Sewage Treatment Works (STWs)</t>
  </si>
  <si>
    <t>B.  Emissions from Sewage Treatment Works (STWs)</t>
  </si>
  <si>
    <r>
      <t xml:space="preserve">An example has been provided for an example utility showing the procedure for calculation of emissions (see green tab </t>
    </r>
    <r>
      <rPr>
        <b/>
        <sz val="12"/>
        <rFont val="Arial Narrow"/>
        <family val="2"/>
      </rPr>
      <t>Example</t>
    </r>
    <r>
      <rPr>
        <sz val="12"/>
        <rFont val="Arial Narrow"/>
        <family val="2"/>
      </rPr>
      <t>).</t>
    </r>
  </si>
  <si>
    <r>
      <t xml:space="preserve">To calculate emissions from water and sewerage operations, go to orange tab </t>
    </r>
    <r>
      <rPr>
        <b/>
        <sz val="12"/>
        <rFont val="Arial Narrow"/>
        <family val="2"/>
      </rPr>
      <t>Emissions</t>
    </r>
    <r>
      <rPr>
        <sz val="12"/>
        <rFont val="Arial Narrow"/>
        <family val="2"/>
      </rPr>
      <t>.</t>
    </r>
  </si>
  <si>
    <r>
      <t xml:space="preserve">However, if your utility does not have sufficient data to use the tables, you may use the graphs of emissions from typical sewage treatment works provided under orange tab </t>
    </r>
    <r>
      <rPr>
        <b/>
        <sz val="12"/>
        <rFont val="Arial Narrow"/>
        <family val="2"/>
      </rPr>
      <t>STW Graphs</t>
    </r>
    <r>
      <rPr>
        <sz val="12"/>
        <rFont val="Arial Narrow"/>
        <family val="2"/>
      </rPr>
      <t>.</t>
    </r>
  </si>
  <si>
    <r>
      <t xml:space="preserve">Insert the sum of total emissions from your STWs into the blue shaded cell for sewage treatment in the orange tab </t>
    </r>
    <r>
      <rPr>
        <b/>
        <sz val="12"/>
        <rFont val="Arial Narrow"/>
        <family val="2"/>
      </rPr>
      <t>Emissions</t>
    </r>
    <r>
      <rPr>
        <sz val="12"/>
        <rFont val="Arial Narrow"/>
        <family val="2"/>
      </rPr>
      <t>.</t>
    </r>
  </si>
  <si>
    <r>
      <t xml:space="preserve">Go to the orange tab </t>
    </r>
    <r>
      <rPr>
        <b/>
        <sz val="12"/>
        <rFont val="Arial Narrow"/>
        <family val="2"/>
      </rPr>
      <t>Emissions</t>
    </r>
    <r>
      <rPr>
        <sz val="12"/>
        <rFont val="Arial Narrow"/>
        <family val="2"/>
      </rPr>
      <t>.</t>
    </r>
  </si>
  <si>
    <t>Enter the accredited sequestration in the blue shaded cell for sequestration.</t>
  </si>
  <si>
    <r>
      <t xml:space="preserve">Your utility's total greenhouse gas emissions will be shown at the bottom of orange tab </t>
    </r>
    <r>
      <rPr>
        <b/>
        <sz val="12"/>
        <rFont val="Arial Narrow"/>
        <family val="2"/>
      </rPr>
      <t>Emissions</t>
    </r>
    <r>
      <rPr>
        <sz val="12"/>
        <rFont val="Arial Narrow"/>
        <family val="2"/>
      </rPr>
      <t>.</t>
    </r>
  </si>
  <si>
    <r>
      <t xml:space="preserve">To calculate emissions from the sewage treatment works, go to orange tab </t>
    </r>
    <r>
      <rPr>
        <b/>
        <sz val="12"/>
        <rFont val="Arial Narrow"/>
        <family val="2"/>
      </rPr>
      <t>STW 1</t>
    </r>
    <r>
      <rPr>
        <sz val="12"/>
        <rFont val="Arial Narrow"/>
        <family val="2"/>
      </rPr>
      <t>.</t>
    </r>
  </si>
  <si>
    <t>Insert the relevant data in the blue cells for steps 1 to 8 for your STW.</t>
  </si>
  <si>
    <r>
      <t xml:space="preserve">Repeat as necessary for each of your STWs in tabs </t>
    </r>
    <r>
      <rPr>
        <b/>
        <sz val="12"/>
        <rFont val="Arial Narrow"/>
        <family val="2"/>
      </rPr>
      <t xml:space="preserve">STW 2 </t>
    </r>
    <r>
      <rPr>
        <sz val="12"/>
        <rFont val="Arial Narrow"/>
        <family val="2"/>
      </rPr>
      <t xml:space="preserve">to </t>
    </r>
    <r>
      <rPr>
        <b/>
        <sz val="12"/>
        <rFont val="Arial Narrow"/>
        <family val="2"/>
      </rPr>
      <t>STW 10</t>
    </r>
    <r>
      <rPr>
        <sz val="12"/>
        <rFont val="Arial Narrow"/>
        <family val="2"/>
      </rPr>
      <t>.</t>
    </r>
  </si>
  <si>
    <r>
      <t xml:space="preserve">Sum the total emissions from each of your STWs (sum step 11 for </t>
    </r>
    <r>
      <rPr>
        <b/>
        <sz val="12"/>
        <rFont val="Arial Narrow"/>
        <family val="2"/>
      </rPr>
      <t xml:space="preserve">STW 1 </t>
    </r>
    <r>
      <rPr>
        <sz val="12"/>
        <rFont val="Arial Narrow"/>
        <family val="2"/>
      </rPr>
      <t>to</t>
    </r>
    <r>
      <rPr>
        <b/>
        <sz val="12"/>
        <rFont val="Arial Narrow"/>
        <family val="2"/>
      </rPr>
      <t xml:space="preserve"> STW 10</t>
    </r>
    <r>
      <rPr>
        <sz val="12"/>
        <rFont val="Arial Narrow"/>
        <family val="2"/>
      </rPr>
      <t>).</t>
    </r>
  </si>
  <si>
    <t>Sum of STW 1 to STW 10 or from STW Graphs</t>
  </si>
  <si>
    <t>The following assumptions have been provided to assist in the calculation of emissions from STWs.</t>
  </si>
  <si>
    <t>Where utilities have measured data or different circumstances, the assumptions below may not apply.</t>
  </si>
  <si>
    <t>STW 1</t>
  </si>
  <si>
    <t>NOTES:</t>
  </si>
  <si>
    <t>(If population unknown, it can be estimated assuming residential sewage is 240 L/c/d.)</t>
  </si>
  <si>
    <t xml:space="preserve">CODw = 0.0585 x population </t>
  </si>
  <si>
    <t xml:space="preserve">CODeff = 0.08 x CODw </t>
  </si>
  <si>
    <t>STW 2</t>
  </si>
  <si>
    <t>STW 3</t>
  </si>
  <si>
    <t>STW 4</t>
  </si>
  <si>
    <t>STW 5</t>
  </si>
  <si>
    <t>STW 6</t>
  </si>
  <si>
    <t>STW 7</t>
  </si>
  <si>
    <t>STW 8</t>
  </si>
  <si>
    <t>STW 9</t>
  </si>
  <si>
    <t>STW 10</t>
  </si>
  <si>
    <t xml:space="preserve">The total greenhouse gas generated from this STW </t>
  </si>
  <si>
    <t>and are shown in the table at right.</t>
  </si>
  <si>
    <t>in the emissions table below.</t>
  </si>
  <si>
    <t>Insert Council name and year in cell above</t>
  </si>
  <si>
    <t>Fuel Type</t>
  </si>
  <si>
    <t>Emissions from Sewage Treatment Works (STWs)</t>
  </si>
  <si>
    <r>
      <t>Calculate the emissions from your water and sewerage operations and also from your sewage treatment works by following steps A to D below</t>
    </r>
    <r>
      <rPr>
        <vertAlign val="superscript"/>
        <sz val="12"/>
        <rFont val="Arial Narrow"/>
        <family val="2"/>
      </rPr>
      <t>1</t>
    </r>
    <r>
      <rPr>
        <sz val="12"/>
        <rFont val="Arial Narrow"/>
        <family val="2"/>
      </rPr>
      <t>.</t>
    </r>
  </si>
  <si>
    <t>1.  Enter the annual quantity of fuel used in water, sewerage or other operations in the appropriate blue cells below.</t>
  </si>
  <si>
    <t>B.  CALCULATION OF GREENHOUSE GAS EMISSIONS FROM SEWAGE TREATMENT WORKS (STWs)</t>
  </si>
  <si>
    <t>Calculation of emissions from STWs requires estimation or measurement of various parameters including BOD or COD for inflow and outflow.</t>
  </si>
  <si>
    <t>Figure 1.  Greenhouse Gases Based on Population</t>
  </si>
  <si>
    <t>Figure 2.  Greenhouse Gases Based on Volume of Inflow</t>
  </si>
  <si>
    <t>(a)</t>
  </si>
  <si>
    <t>(b)</t>
  </si>
  <si>
    <t>(c)</t>
  </si>
  <si>
    <t>(d)</t>
  </si>
  <si>
    <t>(e)</t>
  </si>
  <si>
    <t>(f)</t>
  </si>
  <si>
    <t>(g)</t>
  </si>
  <si>
    <t>(h)</t>
  </si>
  <si>
    <t>(i)</t>
  </si>
  <si>
    <t>Anaerobic pond</t>
  </si>
  <si>
    <t>Assumed inflow sewage loading
(L/c/d)</t>
  </si>
  <si>
    <t>Default fraction wastewater COD anaerobic (Fwan)</t>
  </si>
  <si>
    <t xml:space="preserve">     COD = 2.6 x 2.25 / 100 = 0.0585 tonnes per capita</t>
  </si>
  <si>
    <t xml:space="preserve">     CODw = 0.0585 x population</t>
  </si>
  <si>
    <t>kL</t>
  </si>
  <si>
    <t>Biodiesel</t>
  </si>
  <si>
    <t>Fuel oil</t>
  </si>
  <si>
    <t>m3</t>
  </si>
  <si>
    <t>Multiplier</t>
  </si>
  <si>
    <t>kWh</t>
  </si>
  <si>
    <t>Brown coal</t>
  </si>
  <si>
    <t>Coking coal</t>
  </si>
  <si>
    <t>Brown coal briquettes</t>
  </si>
  <si>
    <t>Bagasse</t>
  </si>
  <si>
    <t>Charcoal</t>
  </si>
  <si>
    <t>Town gas</t>
  </si>
  <si>
    <t>Liquefied natural gas</t>
  </si>
  <si>
    <t>Heating oil</t>
  </si>
  <si>
    <t>Diesel oil</t>
  </si>
  <si>
    <t>Liquefied petroleum gas</t>
  </si>
  <si>
    <t>t</t>
  </si>
  <si>
    <t>Transport (vehicles), office buildings, sequestration</t>
  </si>
  <si>
    <r>
      <t>m</t>
    </r>
    <r>
      <rPr>
        <vertAlign val="superscript"/>
        <sz val="10"/>
        <rFont val="Arial Narrow"/>
        <family val="2"/>
      </rPr>
      <t>3</t>
    </r>
  </si>
  <si>
    <t>UNITS</t>
  </si>
  <si>
    <t>SUBTOTAL</t>
  </si>
  <si>
    <t>SEQUESTRATION</t>
  </si>
  <si>
    <t>Carbon Offset</t>
  </si>
  <si>
    <t>Black coal</t>
  </si>
  <si>
    <t>Industrial materials (eg. tyres) derived from fossil fuels</t>
  </si>
  <si>
    <t>Municipal materials (non-biomass)</t>
  </si>
  <si>
    <t>Municipal and industrial materials (Biomass)</t>
  </si>
  <si>
    <t>Wood (dry)</t>
  </si>
  <si>
    <t>Wood (Green and air dried)</t>
  </si>
  <si>
    <t>Coal seam methane</t>
  </si>
  <si>
    <t>Coal mine waste gas</t>
  </si>
  <si>
    <t>Landfill or sludge biogas (methane only)</t>
  </si>
  <si>
    <t>Petroleum based oils (other than fuel, eg lubricants)</t>
  </si>
  <si>
    <t>Gasoline (other than for use in an aircraft)</t>
  </si>
  <si>
    <t>Kerosene (other than for use in an aircraft)</t>
  </si>
  <si>
    <t>Gasoline for use in an aircraft (AVGAS)</t>
  </si>
  <si>
    <t>Kerosene for use in an aircraft (AVTUR)</t>
  </si>
  <si>
    <t>SOLID FUELS (Non Transport) (Table 1 of NGA)</t>
  </si>
  <si>
    <t>Sewage collection, storage, treatment and discharge</t>
  </si>
  <si>
    <t>Water source, storage, treatment, transfer and distribution</t>
  </si>
  <si>
    <t>Reference</t>
  </si>
  <si>
    <t xml:space="preserve">Table </t>
  </si>
  <si>
    <t>from NGA</t>
  </si>
  <si>
    <t>Table 1</t>
  </si>
  <si>
    <t>Table 2</t>
  </si>
  <si>
    <t>NATURAL GAS (Non Transport) (Table 2 of NGA)</t>
  </si>
  <si>
    <t>LIQUID FUELS (Non Transport) (Table 3 of NGA)</t>
  </si>
  <si>
    <t>Table 3</t>
  </si>
  <si>
    <t>Ethanol for use in an internal combustion engine</t>
  </si>
  <si>
    <t>Table 4</t>
  </si>
  <si>
    <t>Fuel oil (General transport)</t>
  </si>
  <si>
    <t>Biodiesel (General transport)</t>
  </si>
  <si>
    <t>Gasoline (Vehicles)</t>
  </si>
  <si>
    <t>Diesel oil (Vehicles)</t>
  </si>
  <si>
    <t>Liquefied petroleum gas (Vehicles)</t>
  </si>
  <si>
    <t>Ethanol (Vehicles)</t>
  </si>
  <si>
    <t>LIQUID FUELS (Transport) (Table 4 of NGA)</t>
  </si>
  <si>
    <t>Table 5</t>
  </si>
  <si>
    <t>ELECTRICITY PURCHASED FROM GRID (Table 5 of NGA)</t>
  </si>
  <si>
    <t>WASTEWATER TREATMENT</t>
  </si>
  <si>
    <t>Electricity purchased from Vic Grid</t>
  </si>
  <si>
    <t>ANNUAL QUANTITY USED</t>
  </si>
  <si>
    <t>WATER SUPPLY OPERATIONS</t>
  </si>
  <si>
    <t>SEWERAGE OPERATIONS</t>
  </si>
  <si>
    <t>OTHER*</t>
  </si>
  <si>
    <t>GREENHOUSE GAS EMISSIONS (t CO2-equivalent)</t>
  </si>
  <si>
    <t>TOTAL EMISSIONS</t>
  </si>
  <si>
    <t>TOTAL USED</t>
  </si>
  <si>
    <t xml:space="preserve">   Enter data into the blue cells only</t>
  </si>
  <si>
    <t>N/A</t>
  </si>
  <si>
    <t>SOURCE</t>
  </si>
  <si>
    <t>Electricity used during water sourcing, treatment, distribution and transfer.</t>
  </si>
  <si>
    <t>Electricity used during sewage collection, storage, treatment and discharge.</t>
  </si>
  <si>
    <t>Electricity used in office buildings for both Water and Sewerage Operations.</t>
  </si>
  <si>
    <t>Wood/coals used for heating, etc in office buildings.</t>
  </si>
  <si>
    <t>Natural gas used for heating, hot water, etc in office buildings.</t>
  </si>
  <si>
    <t>EXCLUDED (SCOPE 3)</t>
  </si>
  <si>
    <t>Disposal of waste generated.
Employee business travel.
Employees commuting to/from work.
Out-sourced activities (transport/vehicles not owned by utility).
Transportation of products, materials and waste.</t>
  </si>
  <si>
    <t>Fuels used for heating, hot water, etc in office buildings.
Transport - vehicles owned by utility but NOT registered for road use.</t>
  </si>
  <si>
    <t>Transport - vehicles owned &amp; used by utility AND registered for road use.</t>
  </si>
  <si>
    <t>Population</t>
  </si>
  <si>
    <t>FUEL or PROCESS UTILISED</t>
  </si>
  <si>
    <t>Liquid fuels used for water supply operations other than transport vehicles</t>
  </si>
  <si>
    <t>Liquid fuels used for sewerage operations other than transport vehicles</t>
  </si>
  <si>
    <t>Natural gas used for water supply operations other than in office buildings</t>
  </si>
  <si>
    <t>Natural gas used for sewerage operations other than in office buildings</t>
  </si>
  <si>
    <t>Emissions from wastewater treatment  
(methane and nitrous oxide) 
See instructions sheet</t>
  </si>
  <si>
    <r>
      <t>Accredited</t>
    </r>
    <r>
      <rPr>
        <sz val="10"/>
        <rFont val="Arial"/>
      </rPr>
      <t xml:space="preserve"> Carbon offsets
e.g. tree plantations</t>
    </r>
  </si>
  <si>
    <t>A</t>
  </si>
  <si>
    <t>C</t>
  </si>
  <si>
    <t>Greenhouse Gas Emissions
(tonne CO2 equivalent)</t>
  </si>
  <si>
    <t>Methane Emissions
(tonne CO2 equivalent)</t>
  </si>
  <si>
    <t>Nitrous Oxide Emissions
(tonne CO2 equivalent)</t>
  </si>
  <si>
    <t>0.0585 x pop</t>
  </si>
  <si>
    <t>240 L per capita</t>
  </si>
  <si>
    <t>CODsl x(1-Fslan x 0.4)</t>
  </si>
  <si>
    <t>Default fraction COD in sludge anaerobic (Fslan)</t>
  </si>
  <si>
    <t>Nin</t>
  </si>
  <si>
    <t>0.036 x 0.16 x P</t>
  </si>
  <si>
    <t>Population Served (P)</t>
  </si>
  <si>
    <t>Ntrl</t>
  </si>
  <si>
    <t>Type of Treatment Works</t>
  </si>
  <si>
    <t>CODw
(tonnes)</t>
  </si>
  <si>
    <t>CODsl
(tonnes)</t>
  </si>
  <si>
    <t>CODeff
(tonnes)</t>
  </si>
  <si>
    <t>CODtrl
(tonnes)</t>
  </si>
  <si>
    <t>Managed aerobic treatment</t>
  </si>
  <si>
    <t>Unmanaged aerobic treatment</t>
  </si>
  <si>
    <t>Deep anaerobic lagoon (&gt;2m)</t>
  </si>
  <si>
    <t>TYPE OF TREATMENT</t>
  </si>
  <si>
    <t>Aerated Lagoon</t>
  </si>
  <si>
    <t>Fwan</t>
  </si>
  <si>
    <t>Fslan</t>
  </si>
  <si>
    <t>Oxidation Pond</t>
  </si>
  <si>
    <t>Conventional Activated Sludge</t>
  </si>
  <si>
    <t>Continuous Extended Aeration</t>
  </si>
  <si>
    <t>Intermittant Extended Aeration</t>
  </si>
  <si>
    <t>Anaerobic digester/reactor</t>
  </si>
  <si>
    <t>Shallow anaerobic lagoon (&lt;2m)</t>
  </si>
  <si>
    <t>Unmanaged aerobic (deep pond)</t>
  </si>
  <si>
    <t>Volume Treated</t>
  </si>
  <si>
    <t>GHG Emissions (tonnes CO2 equiv)</t>
  </si>
  <si>
    <t>SUMMARY OF EMISSIONS CALCULATED FROM TABLE BELOW</t>
  </si>
  <si>
    <t>STW assumed for each type of treatment</t>
  </si>
  <si>
    <t>Working Table of Emissions Calculated Using the NGER Calculator</t>
  </si>
  <si>
    <t>The STWs assumed to correspond to each type of treatment are also shown in the table below</t>
  </si>
  <si>
    <r>
      <t xml:space="preserve">*  </t>
    </r>
    <r>
      <rPr>
        <b/>
        <sz val="10"/>
        <rFont val="Arial Narrow"/>
        <family val="2"/>
      </rPr>
      <t>OTHER</t>
    </r>
    <r>
      <rPr>
        <sz val="10"/>
        <rFont val="Arial Narrow"/>
        <family val="2"/>
      </rPr>
      <t xml:space="preserve"> is the estimated water and sewerage component of the fuel used in Councils' office buildings and vehicles and can also include sequestration as an offset (ie. a negative value).</t>
    </r>
  </si>
  <si>
    <t>LIQUID FUELS (Transport)  (Adapted from Table 4 of NGA)</t>
  </si>
  <si>
    <t>LIQUID FUELS (Non Transport)  (Adapted from Table 3 of NGA)</t>
  </si>
  <si>
    <t>SOLID FUELS (Non Transport)  (Adapted from Table 1 of NGA)</t>
  </si>
  <si>
    <t>NATURAL GAS (Non Transport)  (Adapted from Table 2 of NGA)</t>
  </si>
  <si>
    <t>SEWAGE TREATMENT  (from STW spreadsheet)</t>
  </si>
  <si>
    <t>Anaerobic Pond AN</t>
  </si>
  <si>
    <t>Shallow Anaerobic Pond AN</t>
  </si>
  <si>
    <t>Determine your utility's accredited sequestration (usually in the form of tonnes of carbon in tree plantations).</t>
  </si>
  <si>
    <t xml:space="preserve">D.  Total Emissions </t>
  </si>
  <si>
    <t>C.  Carbon Offsets</t>
  </si>
  <si>
    <t xml:space="preserve">For convenience, based on all of the above assumptions, graphs have been prepared for different types of STWs for different inflows or populations. </t>
  </si>
  <si>
    <t>ML</t>
  </si>
  <si>
    <t>tonnes</t>
  </si>
  <si>
    <t>t CO2-e</t>
  </si>
  <si>
    <t>COD is assumed to be 2.6 times BOD</t>
  </si>
  <si>
    <t>BOD from domestic sewage is assumed to be 2.25 tonnes per annum per 100 persons</t>
  </si>
  <si>
    <t>COD in influent to the STW (CODw) is therefore calculated from</t>
  </si>
  <si>
    <t>(j)</t>
  </si>
  <si>
    <t>(k)</t>
  </si>
  <si>
    <t>Inflow to STW</t>
  </si>
  <si>
    <t>Input</t>
  </si>
  <si>
    <t>Result</t>
  </si>
  <si>
    <t>Example Calculation of Emissions from Water and Sewerage Operations</t>
  </si>
  <si>
    <t>Electricity</t>
  </si>
  <si>
    <t xml:space="preserve">Water </t>
  </si>
  <si>
    <t>Sewerage</t>
  </si>
  <si>
    <t>kwh</t>
  </si>
  <si>
    <t>Other</t>
  </si>
  <si>
    <t>Ethanol</t>
  </si>
  <si>
    <t>Fuel oil (non transport)</t>
  </si>
  <si>
    <t>Carbon offset</t>
  </si>
  <si>
    <t>Diesel oil (non transport</t>
  </si>
  <si>
    <t>The STW has no biogas captured or flared.</t>
  </si>
  <si>
    <t xml:space="preserve">For an example council, fictitious fuel quantities have been assumed </t>
  </si>
  <si>
    <t>These quantities have been entered into the appropriate blue shaded cells</t>
  </si>
  <si>
    <t>t CO2 -e</t>
  </si>
  <si>
    <t>GREENHOUSE GAS EMISSIONS</t>
  </si>
  <si>
    <t>ANNUAL QUANTITY of FUEL USED</t>
  </si>
  <si>
    <t>Using these assumptions will enable a first approximation of greenhouse gas emissions.</t>
  </si>
  <si>
    <t>The NGER Guidelines are available on the Department of Climate Change and Energy Efficiency website.</t>
  </si>
  <si>
    <t>However, where these assumptions are incorrect, they can be overridden as necessary.</t>
  </si>
  <si>
    <t>Step</t>
  </si>
  <si>
    <t>OR</t>
  </si>
  <si>
    <t xml:space="preserve">are provided in the NGER Guidelines and are shown in the table below </t>
  </si>
  <si>
    <t>OVERVIEW</t>
  </si>
  <si>
    <t>INSTRUCTIONS</t>
  </si>
  <si>
    <r>
      <t xml:space="preserve">1  Examples of common emission sources are shown at yellow tab </t>
    </r>
    <r>
      <rPr>
        <b/>
        <i/>
        <sz val="12"/>
        <rFont val="Arial Narrow"/>
        <family val="2"/>
      </rPr>
      <t>Emission Source Examples</t>
    </r>
  </si>
  <si>
    <t>Insert Council  Name  and Year</t>
  </si>
  <si>
    <r>
      <t xml:space="preserve">The calculations above include a number of simplifying assumptions which have been based on typical STW operations shown at yellow tab </t>
    </r>
    <r>
      <rPr>
        <b/>
        <sz val="10"/>
        <rFont val="Arial Narrow"/>
        <family val="2"/>
      </rPr>
      <t>STW Assumptions</t>
    </r>
    <r>
      <rPr>
        <sz val="10"/>
        <rFont val="Arial Narrow"/>
        <family val="2"/>
      </rPr>
      <t>.</t>
    </r>
  </si>
  <si>
    <r>
      <t xml:space="preserve">If additional STWs are required, see orange worksheets </t>
    </r>
    <r>
      <rPr>
        <b/>
        <sz val="10"/>
        <rFont val="Arial Narrow"/>
        <family val="2"/>
      </rPr>
      <t>STW 2</t>
    </r>
    <r>
      <rPr>
        <sz val="10"/>
        <rFont val="Arial Narrow"/>
        <family val="2"/>
      </rPr>
      <t xml:space="preserve"> to </t>
    </r>
    <r>
      <rPr>
        <b/>
        <sz val="10"/>
        <rFont val="Arial Narrow"/>
        <family val="2"/>
      </rPr>
      <t>STW 10</t>
    </r>
    <r>
      <rPr>
        <sz val="10"/>
        <rFont val="Arial Narrow"/>
        <family val="2"/>
      </rPr>
      <t>.</t>
    </r>
  </si>
  <si>
    <r>
      <t xml:space="preserve">The graphs have been developed on the assumption that inflow from residential sewage is 240 L per capita per day and that the types of treatment correspond to the default fractions anaerobic shown in yellow tab </t>
    </r>
    <r>
      <rPr>
        <b/>
        <sz val="12"/>
        <rFont val="Arial"/>
        <family val="2"/>
      </rPr>
      <t>STW Assumptions</t>
    </r>
    <r>
      <rPr>
        <sz val="12"/>
        <rFont val="Arial"/>
        <family val="2"/>
      </rPr>
      <t>.</t>
    </r>
  </si>
  <si>
    <r>
      <t xml:space="preserve">Refer also to the other assumptions shown at yellow tab </t>
    </r>
    <r>
      <rPr>
        <b/>
        <sz val="12"/>
        <rFont val="Arial"/>
        <family val="2"/>
      </rPr>
      <t>STW Assumptions.</t>
    </r>
  </si>
  <si>
    <t>From emissions calculated in 'STW Example' spreadsheet</t>
  </si>
  <si>
    <r>
      <t xml:space="preserve">To calculate greenhouse gas emissions, utilities should follow steps A to D in the Instructions worksheet (see pink tab </t>
    </r>
    <r>
      <rPr>
        <b/>
        <sz val="12"/>
        <rFont val="Arial Narrow"/>
        <family val="2"/>
      </rPr>
      <t>Instructions</t>
    </r>
    <r>
      <rPr>
        <sz val="12"/>
        <rFont val="Arial Narrow"/>
        <family val="2"/>
      </rPr>
      <t>). These steps comprise:</t>
    </r>
  </si>
  <si>
    <t>tCO2-e/kWh</t>
  </si>
  <si>
    <t>COD in wastewater discharged from the STW in effluent is assumed to be</t>
  </si>
  <si>
    <t xml:space="preserve">Default emission factor for wastewater is </t>
  </si>
  <si>
    <t>Methane emission factor for wastewater (EFw)</t>
  </si>
  <si>
    <t xml:space="preserve">Where the inflow to the STW is measured but the population served is unknown, an approximation for the population served can be calculated from </t>
  </si>
  <si>
    <t>the assumption that the volume of inflow for residential sewage is 240 L per capita per day.</t>
  </si>
  <si>
    <r>
      <t>EFw = 5.3 tonnes</t>
    </r>
    <r>
      <rPr>
        <sz val="10"/>
        <rFont val="Arial Narrow"/>
        <family val="2"/>
      </rPr>
      <t xml:space="preserve"> CO2-e / tonne COD (wastewater)</t>
    </r>
  </si>
  <si>
    <t>Methane emission factor for sludge (EFsl)</t>
  </si>
  <si>
    <t xml:space="preserve">Default emission factor for sludge is </t>
  </si>
  <si>
    <r>
      <t>EFsl = 5.3 tonnes</t>
    </r>
    <r>
      <rPr>
        <sz val="10"/>
        <rFont val="Arial Narrow"/>
        <family val="2"/>
      </rPr>
      <t xml:space="preserve"> CO2-e / tonne COD (sludge)</t>
    </r>
  </si>
  <si>
    <t>Population served</t>
  </si>
  <si>
    <t>COD in influent to STW (CODw)</t>
  </si>
  <si>
    <t>COD in wastewater discharged from STW (CODeff)</t>
  </si>
  <si>
    <t>Fraction of COD anaerobically treated in wastewater (MCFww) and in sludge (MCFsl)</t>
  </si>
  <si>
    <t>MCFww</t>
  </si>
  <si>
    <t>MCFsl</t>
  </si>
  <si>
    <t>Quantity of COD removed as sludge from wastewater and treated in the plant (CODsl)</t>
  </si>
  <si>
    <t>CODsl = CODpsl + CODwasl</t>
  </si>
  <si>
    <t>CODpsl = VSpsl x 1.99</t>
  </si>
  <si>
    <t>where CODpsl is the quantity of COD removed as primary sludge from wastewater and treated at the plant</t>
  </si>
  <si>
    <t>where VSpsl is the estimated volatile solids in the primary sludge</t>
  </si>
  <si>
    <t>CODwasl = VSwasl x 1.48</t>
  </si>
  <si>
    <t>where VSwasl is the estimated volatile solids in the waste activated sludge</t>
  </si>
  <si>
    <t>The fraction of COD removed as sludge should be readily available from internal records of treatment plants.</t>
  </si>
  <si>
    <t>Methane correction factors for wastewater (MCFww) and for sludge (MCFsl) for different types of treatment</t>
  </si>
  <si>
    <t xml:space="preserve">Methane captured for combustion or flaring </t>
  </si>
  <si>
    <t>Methane captured = 0.0142464 x Q</t>
  </si>
  <si>
    <t>in tonnes CO2-e (where Q is the volume in m3 of methane combusted, flared or transferred out)</t>
  </si>
  <si>
    <t>Using default values, this results in:</t>
  </si>
  <si>
    <t>Using default values, and assuming all COD in sludge transferred out goes to landfill, this results in:</t>
  </si>
  <si>
    <t>Preliminary treatment</t>
  </si>
  <si>
    <t>Activated sludge processes</t>
  </si>
  <si>
    <t>Secondary sedimentation tanks of clarifiers</t>
  </si>
  <si>
    <t>Oxidation ditches and carrousels</t>
  </si>
  <si>
    <t>Mechanically aerated lagoons</t>
  </si>
  <si>
    <t>Trickling filters</t>
  </si>
  <si>
    <t>Dissolved air flotation</t>
  </si>
  <si>
    <t>Aerobic digesters</t>
  </si>
  <si>
    <t>Tertiary filtration</t>
  </si>
  <si>
    <t>Disinfection (eg. chlorination, ultraviolet, ozonation)</t>
  </si>
  <si>
    <t>Mechanical dewatering</t>
  </si>
  <si>
    <t>Gravity thickeners</t>
  </si>
  <si>
    <t>Imhoff Tanks</t>
  </si>
  <si>
    <t>Anaerobic digester</t>
  </si>
  <si>
    <t>High rate anaerobic reactors</t>
  </si>
  <si>
    <t>Anaerobic shallow lagoon (&lt;2m deep)</t>
  </si>
  <si>
    <t>Facultative lagoons</t>
  </si>
  <si>
    <t>Maturation/polishing lagoons</t>
  </si>
  <si>
    <t>Sludge drying pans</t>
  </si>
  <si>
    <t>Anaerobic deep lagoon (&gt;2m deep)</t>
  </si>
  <si>
    <t>Sludge lagoons</t>
  </si>
  <si>
    <r>
      <t xml:space="preserve">Sludge transferred out of plant </t>
    </r>
    <r>
      <rPr>
        <sz val="10"/>
        <rFont val="Arial Narrow"/>
        <family val="2"/>
      </rPr>
      <t>(CODtr)</t>
    </r>
  </si>
  <si>
    <r>
      <t xml:space="preserve">Methane correction factor </t>
    </r>
    <r>
      <rPr>
        <sz val="10"/>
        <rFont val="Arial Narrow"/>
        <family val="2"/>
      </rPr>
      <t>(MCF)</t>
    </r>
  </si>
  <si>
    <r>
      <t xml:space="preserve">Table of default Methane Correction Factors for different treatment types is shown below. See also yellow tab </t>
    </r>
    <r>
      <rPr>
        <b/>
        <sz val="10"/>
        <rFont val="Arial Narrow"/>
        <family val="2"/>
      </rPr>
      <t>STW Assumptions</t>
    </r>
  </si>
  <si>
    <t>Intermittent Extended Aeration (IDEA)</t>
  </si>
  <si>
    <r>
      <t>Methane captured for combustion or flaring</t>
    </r>
    <r>
      <rPr>
        <sz val="10"/>
        <rFont val="Arial Narrow"/>
        <family val="2"/>
      </rPr>
      <t xml:space="preserve"> (R)</t>
    </r>
  </si>
  <si>
    <t>Insert volume (Q) combusted or flared in m3 if applicable</t>
  </si>
  <si>
    <t>(The fraction of COD anaerobically treated)</t>
  </si>
  <si>
    <t>Waste activated sludge is from a secondary treatment process in a STW involving aeration and active biological material.</t>
  </si>
  <si>
    <t>Primary sludge is from the first major treatment process in a STW that removes a substantial amount of suspended matter and no colloidal or dissolved matter.</t>
  </si>
  <si>
    <t>Select MCFww for appropriate type of STW from table below at note (g).</t>
  </si>
  <si>
    <t>Select MCFsl for appropriate type of STW from table below at note (g).</t>
  </si>
  <si>
    <t>where Efw = 5.3 tonnes CO2-e per tonne COD</t>
  </si>
  <si>
    <t>where Efsl = 5.3 tonnes CO2-e per tonne COD</t>
  </si>
  <si>
    <r>
      <t>Methane captured from biogas</t>
    </r>
    <r>
      <rPr>
        <sz val="10"/>
        <rFont val="Arial Narrow"/>
        <family val="2"/>
      </rPr>
      <t xml:space="preserve"> R = 0.0142464 x Q  OR tonnes methane recovered</t>
    </r>
  </si>
  <si>
    <r>
      <t>Nitrogen in wastewater</t>
    </r>
    <r>
      <rPr>
        <sz val="10"/>
        <rFont val="Arial Narrow"/>
        <family val="2"/>
      </rPr>
      <t xml:space="preserve"> (N)</t>
    </r>
  </si>
  <si>
    <r>
      <t>Total nitrous oxide emissions</t>
    </r>
    <r>
      <rPr>
        <sz val="10"/>
        <rFont val="Arial Narrow"/>
        <family val="2"/>
      </rPr>
      <t xml:space="preserve"> (Ej)</t>
    </r>
  </si>
  <si>
    <r>
      <t>Nitrogen entering STW</t>
    </r>
    <r>
      <rPr>
        <sz val="10"/>
        <rFont val="Arial Narrow"/>
        <family val="2"/>
      </rPr>
      <t xml:space="preserve"> (Nin assumed to be = 0.036 x 0.16 x Population in tonnes Nitrogen)</t>
    </r>
  </si>
  <si>
    <t>t N</t>
  </si>
  <si>
    <t>Nitrogen in sludge</t>
  </si>
  <si>
    <t>(ie. all waters other than estuarine or open coastal waters)</t>
  </si>
  <si>
    <r>
      <t xml:space="preserve">Nitrogen discharged to open coastal waters </t>
    </r>
    <r>
      <rPr>
        <sz val="10"/>
        <rFont val="Arial Narrow"/>
        <family val="2"/>
      </rPr>
      <t>(Ncw)</t>
    </r>
  </si>
  <si>
    <r>
      <t>Nitrogen discharged to estuarine waters</t>
    </r>
    <r>
      <rPr>
        <sz val="10"/>
        <rFont val="Arial Narrow"/>
        <family val="2"/>
      </rPr>
      <t xml:space="preserve"> (Nestw)</t>
    </r>
  </si>
  <si>
    <t>(default for CODtrl = CODsl x (1-MCFx0.4))</t>
  </si>
  <si>
    <t>COD in sludge transferred out of the plant to other than fill (CODtro)</t>
  </si>
  <si>
    <t>(default is zero)</t>
  </si>
  <si>
    <t>COD in sludge transferred out of plant (CODtr)</t>
  </si>
  <si>
    <t>CODw =</t>
  </si>
  <si>
    <t xml:space="preserve">CODsl = </t>
  </si>
  <si>
    <t>CODeff =</t>
  </si>
  <si>
    <t>CODtrl =</t>
  </si>
  <si>
    <t>CODtr =</t>
  </si>
  <si>
    <t>CODtro =</t>
  </si>
  <si>
    <t>Ntrl =</t>
  </si>
  <si>
    <t>Ntro =</t>
  </si>
  <si>
    <t>Nslout =</t>
  </si>
  <si>
    <t>Nitrogen discharged to the environment</t>
  </si>
  <si>
    <t xml:space="preserve">and CODwasl is the quantity COD removed as waste activated sludge </t>
  </si>
  <si>
    <t>Nin = Protein x Fracpr x Population</t>
  </si>
  <si>
    <t>where</t>
  </si>
  <si>
    <t>Protein = 0.036 (default from NGER Guidelines)</t>
  </si>
  <si>
    <t>Fracpr = 0.16 (default from NGER Guidelines)</t>
  </si>
  <si>
    <t>(l)</t>
  </si>
  <si>
    <t>(m)</t>
  </si>
  <si>
    <t>(n)</t>
  </si>
  <si>
    <t>(o)</t>
  </si>
  <si>
    <t>Ntrl = 0.05 x Mtrl</t>
  </si>
  <si>
    <t>Ntro = 0</t>
  </si>
  <si>
    <t xml:space="preserve">Nout = Nin - Ntrl - Ntro </t>
  </si>
  <si>
    <t>Ej = (Nin - Ntrl - Ntro - Nout) x EFsecij + Nout x Efdisij</t>
  </si>
  <si>
    <t>and Efdisij is the emission factor for the discharge environments shown below in CO2-e per tonne nitrogen</t>
  </si>
  <si>
    <t xml:space="preserve">Discharge to enclosed waters </t>
  </si>
  <si>
    <t xml:space="preserve">Discharge to estuarine waters </t>
  </si>
  <si>
    <t>Discharge to open coastal waters</t>
  </si>
  <si>
    <t>Efdisij</t>
  </si>
  <si>
    <r>
      <t>Nitrogen in sludge transferred to other than landfill</t>
    </r>
    <r>
      <rPr>
        <sz val="10"/>
        <rFont val="Arial Narrow"/>
        <family val="2"/>
      </rPr>
      <t xml:space="preserve"> Ntro assumed to be zero</t>
    </r>
  </si>
  <si>
    <r>
      <t>Nitrogen in sludge</t>
    </r>
    <r>
      <rPr>
        <sz val="10"/>
        <rFont val="Arial Narrow"/>
        <family val="2"/>
      </rPr>
      <t xml:space="preserve"> Nslout = Ntrl + Ntro</t>
    </r>
  </si>
  <si>
    <t>Note that Nin should equal (Nslout + Nencw + Nestw + Ncw)</t>
  </si>
  <si>
    <t>Nencw =</t>
  </si>
  <si>
    <t>TOTAL EMISSIONS FROM STW (GHG)</t>
  </si>
  <si>
    <r>
      <t xml:space="preserve">Methane emissions </t>
    </r>
    <r>
      <rPr>
        <sz val="10"/>
        <rFont val="Arial Narrow"/>
        <family val="2"/>
      </rPr>
      <t>(CH4gen)</t>
    </r>
  </si>
  <si>
    <t>Emissions from sludge (CH4gensl)</t>
  </si>
  <si>
    <t>Emissions from wastewater treatment (CH4genww)</t>
  </si>
  <si>
    <r>
      <t xml:space="preserve">CH4gensl = (CODsl - CODtrl - COD tro) x MCFsl x EFsl   </t>
    </r>
    <r>
      <rPr>
        <sz val="10"/>
        <rFont val="Arial Narrow"/>
        <family val="2"/>
      </rPr>
      <t xml:space="preserve">in tonnes CO2-e  </t>
    </r>
  </si>
  <si>
    <r>
      <t xml:space="preserve">CH4genww = (CODw - CODsl - CODeff) x MCFww x EFw   </t>
    </r>
    <r>
      <rPr>
        <sz val="10"/>
        <rFont val="Arial Narrow"/>
        <family val="2"/>
      </rPr>
      <t xml:space="preserve">in tonnes CO2-e  </t>
    </r>
  </si>
  <si>
    <t>CH4genww =</t>
  </si>
  <si>
    <t>CH4gensl =</t>
  </si>
  <si>
    <r>
      <t>Total Methane emissions</t>
    </r>
    <r>
      <rPr>
        <sz val="10"/>
        <rFont val="Arial Narrow"/>
        <family val="2"/>
      </rPr>
      <t xml:space="preserve"> (CH4gen)</t>
    </r>
  </si>
  <si>
    <r>
      <t>Total methane emissions</t>
    </r>
    <r>
      <rPr>
        <sz val="10"/>
        <rFont val="Arial Narrow"/>
        <family val="2"/>
      </rPr>
      <t xml:space="preserve"> = CH4genww + CH4gensl - R</t>
    </r>
  </si>
  <si>
    <r>
      <t xml:space="preserve">CH4genww = (CODw x 0.63) x MCFww x 5.3   </t>
    </r>
    <r>
      <rPr>
        <sz val="10"/>
        <rFont val="Arial Narrow"/>
        <family val="2"/>
      </rPr>
      <t xml:space="preserve">in tonnes CO2-e  </t>
    </r>
  </si>
  <si>
    <t>Ej = ((Nin - Nslout - Nencw) x 4.9 + Nencw x 4.9 + Nestw x 1.2 + Ncw x 0) tonnes CO2-e</t>
  </si>
  <si>
    <t>Nencw</t>
  </si>
  <si>
    <t>Nslout</t>
  </si>
  <si>
    <t>It is assumed that the COD removed as sludge (CODsl) is about 60% of COD entering STW</t>
  </si>
  <si>
    <t>CODsl = 0.6 x CODw</t>
  </si>
  <si>
    <r>
      <t xml:space="preserve">CH4gensl = (CODw x 0.6 - CODtrl) x MCFsl x 5.3   </t>
    </r>
    <r>
      <rPr>
        <sz val="10"/>
        <rFont val="Arial Narrow"/>
        <family val="2"/>
      </rPr>
      <t xml:space="preserve">in tonnes CO2-e  </t>
    </r>
  </si>
  <si>
    <t>(CODsl is assumed to be 0.6 x CODw)</t>
  </si>
  <si>
    <t>0.6*CODw</t>
  </si>
  <si>
    <t>0.05 x Mrtl</t>
  </si>
  <si>
    <t>unless CODeff is known, in which case the actual value should be inserted</t>
  </si>
  <si>
    <t>Greenhouse Gas Calculator</t>
  </si>
  <si>
    <t>The mass of greenhouse gases can be calculated by applying appropriate conversion factors to the quantities of fuel consumed and by using appropriate formulae to calculate emissions from sewage treatment works.</t>
  </si>
  <si>
    <t>The calculator is a spreadsheet based on the Federal Government factors and also includes some simplifying assumptions for sewage treatment.</t>
  </si>
  <si>
    <t>In order to assist NSW utilities in estimating the greenhouse gas emissions resulting from their water and sewerage operations, the NSW Office of Water has developed this greenhouse gas calculator for use by NSW utilities. This will simplify and standardise the process.</t>
  </si>
  <si>
    <t>Where a utility has specific data or different circumstances, the calculator may not apply.</t>
  </si>
  <si>
    <r>
      <t xml:space="preserve">2.  Enter the estimated emissions from sewage treatment works (from orange tab </t>
    </r>
    <r>
      <rPr>
        <b/>
        <sz val="12"/>
        <rFont val="Arial Narrow"/>
        <family val="2"/>
      </rPr>
      <t xml:space="preserve">STW 1 </t>
    </r>
    <r>
      <rPr>
        <sz val="12"/>
        <rFont val="Arial Narrow"/>
        <family val="2"/>
      </rPr>
      <t xml:space="preserve">to </t>
    </r>
    <r>
      <rPr>
        <b/>
        <sz val="12"/>
        <rFont val="Arial Narrow"/>
        <family val="2"/>
      </rPr>
      <t>STW 10</t>
    </r>
    <r>
      <rPr>
        <sz val="12"/>
        <rFont val="Arial Narrow"/>
        <family val="2"/>
      </rPr>
      <t xml:space="preserve"> ).</t>
    </r>
  </si>
  <si>
    <t>Based on Tables 1 to 5 of the NATIONAL GREENHOUSE ACCOUNTS (NGA) FACTORS July 2011</t>
  </si>
  <si>
    <t>A. CALCULATION OF EMISSIONS FROM WATER AND SEWERAGE OPERATIONS BY NSW WATER UTILITIES  - 2011</t>
  </si>
  <si>
    <t>GHG = Methane emissions (CH4gen) plus nitrous oxide emissions (Ej)</t>
  </si>
  <si>
    <r>
      <t xml:space="preserve">Total Greenhouse Gas Emissions </t>
    </r>
    <r>
      <rPr>
        <sz val="10"/>
        <rFont val="Arial Narrow"/>
        <family val="2"/>
      </rPr>
      <t>(GHG)</t>
    </r>
  </si>
  <si>
    <t>Graphs of Emissions for different types of STW</t>
  </si>
  <si>
    <t>ASSUMPTIONS ADOPTED FOR THE CALCULATION OF EMISSIONS FROM STWs</t>
  </si>
  <si>
    <t>Refer to orange tabs STW1 to STW10</t>
  </si>
  <si>
    <t>unless a better estimate is available from the estimated volatile solids.</t>
  </si>
  <si>
    <r>
      <t xml:space="preserve">Methane emissions generated from wastewater treatment </t>
    </r>
    <r>
      <rPr>
        <sz val="10"/>
        <rFont val="Arial Narrow"/>
        <family val="2"/>
      </rPr>
      <t>are calculated using the formula shown in the NGER Guidelines</t>
    </r>
  </si>
  <si>
    <r>
      <t>Methane emissions generated from sludge</t>
    </r>
    <r>
      <rPr>
        <sz val="10"/>
        <rFont val="Arial Narrow"/>
        <family val="2"/>
      </rPr>
      <t xml:space="preserve"> are calculated using the formula shown in the NGER Guidelines</t>
    </r>
  </si>
  <si>
    <r>
      <t>The total methane emissions</t>
    </r>
    <r>
      <rPr>
        <sz val="10"/>
        <rFont val="Arial Narrow"/>
        <family val="2"/>
      </rPr>
      <t xml:space="preserve"> are the sum of the wastewater emissions plus sludge emissions less the methane captured</t>
    </r>
  </si>
  <si>
    <r>
      <t>Nitrogen entering the plant</t>
    </r>
    <r>
      <rPr>
        <sz val="10"/>
        <rFont val="Arial Narrow"/>
        <family val="2"/>
      </rPr>
      <t xml:space="preserve"> is assumed to be </t>
    </r>
  </si>
  <si>
    <r>
      <t>Nitrogen in sludge transferred to landfill</t>
    </r>
    <r>
      <rPr>
        <sz val="10"/>
        <rFont val="Arial Narrow"/>
        <family val="2"/>
      </rPr>
      <t xml:space="preserve"> is assumed to be 0.05 times the dry mass of sludge transferred to landfill</t>
    </r>
  </si>
  <si>
    <t>Nitrogen in sludge transferred to other than landfill is assumed to be zero</t>
  </si>
  <si>
    <r>
      <t xml:space="preserve">Nitrogen in effluent </t>
    </r>
    <r>
      <rPr>
        <sz val="10"/>
        <rFont val="Arial Narrow"/>
        <family val="2"/>
      </rPr>
      <t>is assumed to be that remaining in effluent</t>
    </r>
  </si>
  <si>
    <r>
      <t>Nitrous oxide emissions</t>
    </r>
    <r>
      <rPr>
        <sz val="10"/>
        <rFont val="Arial Narrow"/>
        <family val="2"/>
      </rPr>
      <t xml:space="preserve"> (Ej) are calculated using the formula shown in the NGER Guidelines</t>
    </r>
  </si>
  <si>
    <t>Inflow to STW is 430ML serving 5,000 people</t>
  </si>
  <si>
    <t>for sewerage operations emissions below</t>
  </si>
  <si>
    <t>This value is entered into the blue shaded cell</t>
  </si>
  <si>
    <t>Example STW (Anaerobic pond &lt;2m deep) serving 5,000 people</t>
  </si>
  <si>
    <t>GUIDANCE FOR ESTIMATING GREENHOUSE GAS EMISSIONS FROM STWs FOR NSW WATER UTILITIES - 2011</t>
  </si>
  <si>
    <t xml:space="preserve">Insert volume of sewage entering STW per year (if known). Else leave blank. </t>
  </si>
</sst>
</file>

<file path=xl/styles.xml><?xml version="1.0" encoding="utf-8"?>
<styleSheet xmlns="http://schemas.openxmlformats.org/spreadsheetml/2006/main">
  <numFmts count="3">
    <numFmt numFmtId="165" formatCode="0.0"/>
    <numFmt numFmtId="166" formatCode="0.000"/>
    <numFmt numFmtId="170" formatCode="#,##0.0"/>
  </numFmts>
  <fonts count="37">
    <font>
      <sz val="10"/>
      <name val="Arial"/>
    </font>
    <font>
      <b/>
      <sz val="10"/>
      <name val="Arial"/>
      <family val="2"/>
    </font>
    <font>
      <sz val="8"/>
      <name val="Arial"/>
    </font>
    <font>
      <sz val="10"/>
      <name val="Arial"/>
      <family val="2"/>
    </font>
    <font>
      <sz val="10"/>
      <name val="Arial Narrow"/>
      <family val="2"/>
    </font>
    <font>
      <b/>
      <sz val="10"/>
      <name val="Arial Narrow"/>
      <family val="2"/>
    </font>
    <font>
      <sz val="9"/>
      <name val="Arial Narrow"/>
      <family val="2"/>
    </font>
    <font>
      <vertAlign val="superscript"/>
      <sz val="10"/>
      <name val="Arial Narrow"/>
      <family val="2"/>
    </font>
    <font>
      <b/>
      <sz val="12"/>
      <name val="Arial Narrow"/>
      <family val="2"/>
    </font>
    <font>
      <b/>
      <sz val="9"/>
      <name val="Arial Narrow"/>
      <family val="2"/>
    </font>
    <font>
      <sz val="10"/>
      <color indexed="23"/>
      <name val="Arial Narrow"/>
      <family val="2"/>
    </font>
    <font>
      <b/>
      <sz val="10"/>
      <color indexed="23"/>
      <name val="Arial Narrow"/>
      <family val="2"/>
    </font>
    <font>
      <sz val="9"/>
      <color indexed="23"/>
      <name val="Arial Narrow"/>
      <family val="2"/>
    </font>
    <font>
      <sz val="8"/>
      <color indexed="23"/>
      <name val="Arial Narrow"/>
      <family val="2"/>
    </font>
    <font>
      <b/>
      <sz val="8"/>
      <color indexed="23"/>
      <name val="Arial Narrow"/>
      <family val="2"/>
    </font>
    <font>
      <b/>
      <sz val="14"/>
      <name val="Arial Narrow"/>
      <family val="2"/>
    </font>
    <font>
      <b/>
      <sz val="14"/>
      <name val="Arial"/>
      <family val="2"/>
    </font>
    <font>
      <b/>
      <sz val="12"/>
      <name val="Arial"/>
      <family val="2"/>
    </font>
    <font>
      <b/>
      <sz val="8"/>
      <color indexed="81"/>
      <name val="Tahoma"/>
    </font>
    <font>
      <b/>
      <sz val="8"/>
      <color indexed="81"/>
      <name val="Tahoma"/>
      <family val="2"/>
    </font>
    <font>
      <u/>
      <sz val="10"/>
      <name val="Arial"/>
      <family val="2"/>
    </font>
    <font>
      <sz val="9"/>
      <name val="Arial"/>
    </font>
    <font>
      <sz val="12"/>
      <name val="Arial"/>
    </font>
    <font>
      <sz val="12"/>
      <name val="Arial"/>
      <family val="2"/>
    </font>
    <font>
      <sz val="12"/>
      <name val="Arial Narrow"/>
      <family val="2"/>
    </font>
    <font>
      <b/>
      <sz val="18"/>
      <name val="Arial"/>
      <family val="2"/>
    </font>
    <font>
      <b/>
      <sz val="12"/>
      <name val="Arial"/>
    </font>
    <font>
      <b/>
      <sz val="18"/>
      <name val="Arial Narrow"/>
      <family val="2"/>
    </font>
    <font>
      <sz val="10"/>
      <color indexed="10"/>
      <name val="Arial Narrow"/>
      <family val="2"/>
    </font>
    <font>
      <b/>
      <sz val="10"/>
      <color indexed="10"/>
      <name val="Arial Narrow"/>
      <family val="2"/>
    </font>
    <font>
      <b/>
      <sz val="16"/>
      <name val="Arial Narrow"/>
      <family val="2"/>
    </font>
    <font>
      <vertAlign val="superscript"/>
      <sz val="12"/>
      <name val="Arial Narrow"/>
      <family val="2"/>
    </font>
    <font>
      <b/>
      <sz val="16"/>
      <name val="Arial"/>
      <family val="2"/>
    </font>
    <font>
      <i/>
      <sz val="12"/>
      <name val="Arial Narrow"/>
      <family val="2"/>
    </font>
    <font>
      <b/>
      <i/>
      <sz val="12"/>
      <name val="Arial Narrow"/>
      <family val="2"/>
    </font>
    <font>
      <i/>
      <sz val="10"/>
      <name val="Arial Narrow"/>
      <family val="2"/>
    </font>
    <font>
      <sz val="12"/>
      <color indexed="12"/>
      <name val="Arial Narrow"/>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51">
    <border>
      <left/>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463">
    <xf numFmtId="0" fontId="0" fillId="0" borderId="0" xfId="0"/>
    <xf numFmtId="0" fontId="1" fillId="0" borderId="0" xfId="0" applyFont="1"/>
    <xf numFmtId="0" fontId="0" fillId="0" borderId="0" xfId="0" applyAlignment="1">
      <alignment horizontal="center"/>
    </xf>
    <xf numFmtId="0" fontId="4" fillId="0" borderId="0" xfId="0" applyFont="1"/>
    <xf numFmtId="0" fontId="5" fillId="0" borderId="0" xfId="0" applyFont="1" applyAlignment="1">
      <alignment horizontal="center"/>
    </xf>
    <xf numFmtId="0" fontId="0" fillId="0" borderId="0" xfId="0" applyBorder="1"/>
    <xf numFmtId="0" fontId="6" fillId="0" borderId="0" xfId="0" applyFont="1" applyAlignment="1">
      <alignment horizontal="center" wrapText="1"/>
    </xf>
    <xf numFmtId="0" fontId="4" fillId="0" borderId="0" xfId="0" applyFont="1" applyAlignment="1">
      <alignment horizontal="center"/>
    </xf>
    <xf numFmtId="0" fontId="8" fillId="2" borderId="0" xfId="0" applyFont="1" applyFill="1" applyBorder="1" applyAlignment="1">
      <alignment horizontal="center"/>
    </xf>
    <xf numFmtId="0" fontId="5" fillId="2" borderId="0" xfId="0" applyFont="1" applyFill="1" applyBorder="1" applyAlignment="1">
      <alignment horizontal="center"/>
    </xf>
    <xf numFmtId="0" fontId="6" fillId="0" borderId="0" xfId="0" applyFont="1" applyBorder="1" applyAlignment="1">
      <alignment horizontal="center" wrapText="1"/>
    </xf>
    <xf numFmtId="0" fontId="4" fillId="3" borderId="0" xfId="0" applyFont="1" applyFill="1" applyBorder="1" applyAlignment="1">
      <alignment horizontal="center"/>
    </xf>
    <xf numFmtId="2" fontId="4" fillId="0" borderId="0" xfId="0" applyNumberFormat="1" applyFont="1" applyBorder="1" applyAlignment="1">
      <alignment horizontal="center"/>
    </xf>
    <xf numFmtId="2"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Alignment="1">
      <alignment horizontal="left"/>
    </xf>
    <xf numFmtId="0" fontId="10" fillId="0" borderId="0" xfId="0" applyFont="1" applyAlignment="1">
      <alignment horizontal="center"/>
    </xf>
    <xf numFmtId="0" fontId="11" fillId="2" borderId="0" xfId="0" applyFont="1" applyFill="1" applyBorder="1" applyAlignment="1">
      <alignment horizontal="center"/>
    </xf>
    <xf numFmtId="0" fontId="11" fillId="0" borderId="0" xfId="0" applyFont="1" applyAlignment="1">
      <alignment horizontal="center"/>
    </xf>
    <xf numFmtId="0" fontId="11" fillId="0" borderId="0" xfId="0" applyFont="1" applyBorder="1" applyAlignment="1">
      <alignment horizontal="center" vertical="top" wrapText="1"/>
    </xf>
    <xf numFmtId="0" fontId="10" fillId="3" borderId="0" xfId="0" applyFont="1" applyFill="1" applyBorder="1" applyAlignment="1">
      <alignment horizontal="center"/>
    </xf>
    <xf numFmtId="2" fontId="10" fillId="0" borderId="0" xfId="0" applyNumberFormat="1" applyFont="1" applyBorder="1" applyAlignment="1">
      <alignment horizontal="center"/>
    </xf>
    <xf numFmtId="0" fontId="10" fillId="0" borderId="0" xfId="0" applyFont="1" applyBorder="1" applyAlignment="1">
      <alignment horizontal="center"/>
    </xf>
    <xf numFmtId="2" fontId="11" fillId="0" borderId="0" xfId="0" applyNumberFormat="1"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wrapText="1"/>
    </xf>
    <xf numFmtId="0" fontId="15" fillId="0" borderId="0" xfId="0" applyFont="1"/>
    <xf numFmtId="0" fontId="0" fillId="0" borderId="1" xfId="0"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0" xfId="0" applyFont="1" applyFill="1" applyBorder="1" applyAlignment="1">
      <alignment horizontal="left" vertical="center" indent="1"/>
    </xf>
    <xf numFmtId="0" fontId="5" fillId="0" borderId="8" xfId="0" applyFont="1" applyFill="1" applyBorder="1" applyAlignment="1">
      <alignment horizontal="left" vertical="center" inden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xf numFmtId="0" fontId="0" fillId="0" borderId="12" xfId="0" applyBorder="1"/>
    <xf numFmtId="0" fontId="8" fillId="0" borderId="0" xfId="0" applyFont="1"/>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xf numFmtId="0" fontId="17" fillId="0" borderId="0" xfId="0" applyFont="1" applyAlignment="1">
      <alignment vertical="center"/>
    </xf>
    <xf numFmtId="0" fontId="20" fillId="0" borderId="13" xfId="0" applyFont="1" applyBorder="1" applyAlignment="1">
      <alignment horizontal="center" vertical="center" wrapText="1"/>
    </xf>
    <xf numFmtId="0" fontId="5" fillId="0" borderId="14"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3" borderId="15" xfId="0" applyFont="1" applyFill="1" applyBorder="1" applyAlignment="1">
      <alignment horizontal="center" vertical="center" wrapText="1"/>
    </xf>
    <xf numFmtId="0" fontId="0" fillId="0" borderId="16" xfId="0" applyBorder="1" applyAlignment="1">
      <alignment horizontal="center" vertical="center" wrapText="1"/>
    </xf>
    <xf numFmtId="0" fontId="5" fillId="0" borderId="17" xfId="0" applyFont="1" applyFill="1" applyBorder="1" applyAlignment="1">
      <alignment horizontal="left" vertical="center" inden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horizontal="center" vertical="top"/>
    </xf>
    <xf numFmtId="0" fontId="4" fillId="0" borderId="0" xfId="0" applyFont="1" applyFill="1" applyAlignment="1">
      <alignment horizontal="left" vertical="top"/>
    </xf>
    <xf numFmtId="0" fontId="4" fillId="0" borderId="0" xfId="0" applyFont="1" applyFill="1"/>
    <xf numFmtId="0" fontId="8" fillId="0" borderId="0" xfId="0" applyFont="1" applyAlignment="1">
      <alignment horizontal="left" vertical="top"/>
    </xf>
    <xf numFmtId="0" fontId="8" fillId="0" borderId="0" xfId="0" applyFont="1" applyAlignment="1">
      <alignment vertical="top"/>
    </xf>
    <xf numFmtId="165" fontId="0" fillId="0" borderId="16" xfId="0" applyNumberFormat="1" applyBorder="1" applyAlignment="1">
      <alignment horizontal="center" vertical="center" wrapText="1"/>
    </xf>
    <xf numFmtId="165" fontId="0" fillId="0" borderId="19" xfId="0" applyNumberFormat="1" applyBorder="1" applyAlignment="1">
      <alignment horizontal="center" vertical="center" wrapText="1"/>
    </xf>
    <xf numFmtId="165" fontId="0" fillId="0" borderId="1" xfId="0" applyNumberFormat="1" applyBorder="1" applyAlignment="1">
      <alignment horizontal="center" vertical="center" wrapText="1"/>
    </xf>
    <xf numFmtId="0" fontId="5" fillId="0" borderId="20" xfId="0" applyFont="1" applyFill="1" applyBorder="1" applyAlignment="1">
      <alignment horizontal="left" vertical="center" indent="1"/>
    </xf>
    <xf numFmtId="0" fontId="0" fillId="0" borderId="0"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quotePrefix="1" applyFont="1" applyFill="1" applyBorder="1" applyAlignment="1">
      <alignment horizontal="center" vertical="center" wrapText="1"/>
    </xf>
    <xf numFmtId="0" fontId="6" fillId="3" borderId="22" xfId="0" applyFont="1" applyFill="1" applyBorder="1" applyAlignment="1">
      <alignment horizontal="center" vertical="center" wrapText="1"/>
    </xf>
    <xf numFmtId="0" fontId="21" fillId="0" borderId="0" xfId="0" applyFont="1"/>
    <xf numFmtId="0" fontId="5" fillId="0" borderId="23"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25" xfId="0" applyFont="1" applyFill="1" applyBorder="1" applyAlignment="1">
      <alignment horizontal="left" vertical="center" indent="1"/>
    </xf>
    <xf numFmtId="0" fontId="5" fillId="0" borderId="26" xfId="0" applyFont="1" applyFill="1" applyBorder="1" applyAlignment="1">
      <alignment horizontal="left" vertical="center" inden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0" borderId="0" xfId="0" applyFill="1" applyBorder="1" applyAlignment="1">
      <alignment horizontal="center" vertical="center" wrapText="1"/>
    </xf>
    <xf numFmtId="165" fontId="0" fillId="0" borderId="21" xfId="0" applyNumberFormat="1" applyBorder="1" applyAlignment="1">
      <alignment horizontal="center" vertical="center" wrapText="1"/>
    </xf>
    <xf numFmtId="165" fontId="0" fillId="0" borderId="9" xfId="0" applyNumberFormat="1" applyBorder="1" applyAlignment="1">
      <alignment horizontal="center" vertical="center" wrapText="1"/>
    </xf>
    <xf numFmtId="0" fontId="6" fillId="3" borderId="24" xfId="0" applyFont="1" applyFill="1" applyBorder="1" applyAlignment="1">
      <alignment horizontal="center" vertical="center" wrapText="1"/>
    </xf>
    <xf numFmtId="0" fontId="21" fillId="0" borderId="0" xfId="0" applyFont="1" applyAlignment="1">
      <alignment horizontal="center" vertical="top" wrapText="1"/>
    </xf>
    <xf numFmtId="0" fontId="0" fillId="0" borderId="0" xfId="0" applyFill="1" applyBorder="1" applyAlignment="1">
      <alignment horizontal="left" vertical="center"/>
    </xf>
    <xf numFmtId="0" fontId="1" fillId="0" borderId="29" xfId="0" applyFont="1" applyBorder="1" applyAlignment="1">
      <alignment horizontal="center"/>
    </xf>
    <xf numFmtId="0" fontId="1" fillId="0" borderId="14" xfId="0" applyFont="1" applyBorder="1" applyAlignment="1">
      <alignment horizontal="center"/>
    </xf>
    <xf numFmtId="0" fontId="0" fillId="0" borderId="2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9" xfId="0" applyBorder="1"/>
    <xf numFmtId="0" fontId="0" fillId="0" borderId="30" xfId="0" applyBorder="1"/>
    <xf numFmtId="0" fontId="0" fillId="0" borderId="17" xfId="0" applyBorder="1"/>
    <xf numFmtId="0" fontId="0" fillId="0" borderId="20" xfId="0" applyFill="1" applyBorder="1" applyAlignment="1">
      <alignment horizontal="right" vertical="center"/>
    </xf>
    <xf numFmtId="0" fontId="0" fillId="0" borderId="20" xfId="0" applyBorder="1"/>
    <xf numFmtId="0" fontId="0" fillId="0" borderId="31" xfId="0" applyBorder="1" applyAlignment="1">
      <alignment vertical="center"/>
    </xf>
    <xf numFmtId="0" fontId="1" fillId="0" borderId="31" xfId="0" applyFont="1" applyBorder="1" applyAlignment="1">
      <alignment horizontal="center" vertical="center"/>
    </xf>
    <xf numFmtId="0" fontId="0" fillId="0" borderId="32" xfId="0" applyBorder="1" applyAlignment="1">
      <alignment vertical="center"/>
    </xf>
    <xf numFmtId="0" fontId="1" fillId="0" borderId="32"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1" fillId="0" borderId="20" xfId="0" applyFont="1" applyBorder="1" applyAlignment="1">
      <alignment horizontal="left" vertical="center"/>
    </xf>
    <xf numFmtId="0" fontId="21" fillId="0" borderId="16" xfId="0" applyFont="1" applyBorder="1"/>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9" xfId="0" applyFill="1" applyBorder="1" applyAlignment="1">
      <alignment horizontal="center" vertical="center" wrapText="1"/>
    </xf>
    <xf numFmtId="0" fontId="22" fillId="0" borderId="0" xfId="0" applyFont="1"/>
    <xf numFmtId="0" fontId="1" fillId="0" borderId="31" xfId="0" applyFont="1" applyBorder="1" applyAlignment="1">
      <alignment horizontal="left" vertical="center"/>
    </xf>
    <xf numFmtId="0" fontId="23" fillId="0" borderId="0" xfId="0" applyFont="1" applyAlignment="1">
      <alignment vertical="center"/>
    </xf>
    <xf numFmtId="0" fontId="3" fillId="0" borderId="0" xfId="0" applyFont="1"/>
    <xf numFmtId="0" fontId="16" fillId="0" borderId="0" xfId="0" applyFont="1"/>
    <xf numFmtId="0" fontId="24" fillId="0" borderId="0" xfId="0" applyFont="1" applyAlignment="1">
      <alignment horizontal="left" vertical="top"/>
    </xf>
    <xf numFmtId="0" fontId="26" fillId="0" borderId="0" xfId="0" applyFont="1"/>
    <xf numFmtId="0" fontId="5" fillId="3" borderId="3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0" borderId="29" xfId="0" applyFont="1" applyFill="1" applyBorder="1" applyAlignment="1">
      <alignment horizontal="left" vertical="center" indent="1"/>
    </xf>
    <xf numFmtId="0" fontId="5" fillId="0" borderId="30" xfId="0" applyFont="1" applyFill="1" applyBorder="1" applyAlignment="1">
      <alignment horizontal="left" vertical="center" indent="1"/>
    </xf>
    <xf numFmtId="0" fontId="1" fillId="0" borderId="2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0" fillId="0" borderId="16" xfId="0" applyBorder="1"/>
    <xf numFmtId="0" fontId="21" fillId="0" borderId="2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3" fillId="0" borderId="34" xfId="0" applyFont="1" applyBorder="1" applyAlignment="1">
      <alignment horizontal="center"/>
    </xf>
    <xf numFmtId="0" fontId="3" fillId="0" borderId="32" xfId="0" applyFont="1" applyBorder="1" applyAlignment="1">
      <alignment horizontal="center"/>
    </xf>
    <xf numFmtId="166" fontId="0" fillId="0" borderId="0" xfId="0" applyNumberFormat="1"/>
    <xf numFmtId="0" fontId="15" fillId="0" borderId="0" xfId="0" applyFont="1" applyAlignment="1">
      <alignment horizontal="left" vertical="top"/>
    </xf>
    <xf numFmtId="0" fontId="5" fillId="0" borderId="0" xfId="0" applyFont="1" applyAlignment="1">
      <alignment horizontal="right"/>
    </xf>
    <xf numFmtId="0" fontId="1" fillId="0" borderId="34" xfId="0" applyFont="1" applyBorder="1" applyAlignment="1">
      <alignment horizontal="left" vertical="center"/>
    </xf>
    <xf numFmtId="0" fontId="4" fillId="0" borderId="31" xfId="0" applyFont="1" applyBorder="1"/>
    <xf numFmtId="0" fontId="4" fillId="0" borderId="32" xfId="0" applyFont="1" applyBorder="1"/>
    <xf numFmtId="0" fontId="4" fillId="0" borderId="0" xfId="0" applyFont="1" applyBorder="1"/>
    <xf numFmtId="0" fontId="4" fillId="0" borderId="30" xfId="0" applyFont="1" applyBorder="1"/>
    <xf numFmtId="0" fontId="5" fillId="0" borderId="0" xfId="0" applyFont="1" applyAlignment="1">
      <alignment horizontal="center" vertical="top"/>
    </xf>
    <xf numFmtId="0" fontId="0" fillId="0" borderId="29" xfId="0" applyBorder="1" applyAlignment="1">
      <alignment horizontal="center" vertical="center" wrapText="1"/>
    </xf>
    <xf numFmtId="0" fontId="20" fillId="0" borderId="35" xfId="0" applyFont="1" applyBorder="1" applyAlignment="1">
      <alignment horizontal="center" vertical="center" wrapText="1"/>
    </xf>
    <xf numFmtId="0" fontId="4" fillId="4" borderId="0" xfId="0" applyFont="1" applyFill="1"/>
    <xf numFmtId="0" fontId="24" fillId="0" borderId="0" xfId="0" applyFont="1" applyAlignment="1">
      <alignment horizontal="left"/>
    </xf>
    <xf numFmtId="0" fontId="15" fillId="0" borderId="0" xfId="0" applyFont="1" applyFill="1"/>
    <xf numFmtId="0" fontId="8" fillId="0" borderId="0" xfId="0" applyFont="1" applyFill="1"/>
    <xf numFmtId="0" fontId="27" fillId="0" borderId="0" xfId="0" applyFont="1" applyFill="1"/>
    <xf numFmtId="0" fontId="25" fillId="0" borderId="0" xfId="0" applyFont="1" applyFill="1" applyAlignment="1">
      <alignment vertical="center"/>
    </xf>
    <xf numFmtId="0" fontId="17" fillId="0" borderId="0" xfId="0" applyFont="1" applyFill="1" applyAlignment="1">
      <alignment vertical="center"/>
    </xf>
    <xf numFmtId="0" fontId="1" fillId="0" borderId="0" xfId="0" applyFont="1" applyFill="1"/>
    <xf numFmtId="0" fontId="4" fillId="0" borderId="0" xfId="0" applyFont="1" applyFill="1" applyBorder="1" applyAlignment="1">
      <alignment horizontal="left" vertical="top"/>
    </xf>
    <xf numFmtId="3" fontId="4" fillId="0" borderId="0" xfId="0" applyNumberFormat="1" applyFont="1" applyFill="1" applyBorder="1" applyAlignment="1">
      <alignment horizontal="left" vertical="top"/>
    </xf>
    <xf numFmtId="0" fontId="5" fillId="0" borderId="0" xfId="0" applyFont="1" applyAlignment="1">
      <alignment horizontal="left"/>
    </xf>
    <xf numFmtId="170" fontId="4"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3" fontId="4" fillId="0" borderId="21" xfId="0" applyNumberFormat="1" applyFont="1" applyFill="1" applyBorder="1" applyAlignment="1">
      <alignment horizontal="left" vertical="top"/>
    </xf>
    <xf numFmtId="0" fontId="4" fillId="0" borderId="0" xfId="0" applyFont="1" applyFill="1" applyBorder="1"/>
    <xf numFmtId="0" fontId="4" fillId="0" borderId="1" xfId="0" applyFont="1" applyFill="1" applyBorder="1" applyAlignment="1">
      <alignment horizontal="left" vertical="top"/>
    </xf>
    <xf numFmtId="3" fontId="4" fillId="0" borderId="0" xfId="0" applyNumberFormat="1" applyFont="1" applyAlignment="1">
      <alignment horizontal="center" vertical="top"/>
    </xf>
    <xf numFmtId="3" fontId="4" fillId="0" borderId="0" xfId="0" applyNumberFormat="1" applyFont="1" applyFill="1" applyBorder="1" applyAlignment="1">
      <alignment horizontal="center" vertical="top"/>
    </xf>
    <xf numFmtId="170" fontId="4" fillId="0" borderId="6" xfId="0" applyNumberFormat="1" applyFont="1" applyFill="1" applyBorder="1" applyAlignment="1">
      <alignment horizontal="center" vertical="top"/>
    </xf>
    <xf numFmtId="0" fontId="5" fillId="0" borderId="0" xfId="0" applyFont="1" applyFill="1" applyBorder="1" applyAlignment="1">
      <alignment horizontal="center" vertical="top"/>
    </xf>
    <xf numFmtId="3" fontId="28" fillId="0" borderId="0" xfId="0" applyNumberFormat="1" applyFont="1" applyBorder="1" applyAlignment="1">
      <alignment horizontal="center" vertical="top"/>
    </xf>
    <xf numFmtId="3" fontId="29" fillId="5" borderId="6" xfId="0" applyNumberFormat="1" applyFont="1" applyFill="1" applyBorder="1" applyAlignment="1">
      <alignment horizontal="center" vertical="top"/>
    </xf>
    <xf numFmtId="3" fontId="28" fillId="0" borderId="0" xfId="0" applyNumberFormat="1" applyFont="1" applyFill="1" applyBorder="1" applyAlignment="1">
      <alignment horizontal="center" vertical="top"/>
    </xf>
    <xf numFmtId="1" fontId="0" fillId="0" borderId="1" xfId="0" applyNumberFormat="1" applyBorder="1" applyAlignment="1">
      <alignment horizontal="center" vertical="center" wrapText="1"/>
    </xf>
    <xf numFmtId="1" fontId="0" fillId="0" borderId="22" xfId="0" applyNumberFormat="1" applyBorder="1" applyAlignment="1">
      <alignment horizontal="center" vertical="center" wrapText="1"/>
    </xf>
    <xf numFmtId="1" fontId="0" fillId="0" borderId="16" xfId="0" applyNumberFormat="1" applyBorder="1" applyAlignment="1">
      <alignment horizontal="center" vertical="center" wrapText="1"/>
    </xf>
    <xf numFmtId="1" fontId="0" fillId="0" borderId="13" xfId="0" applyNumberFormat="1" applyBorder="1" applyAlignment="1">
      <alignment horizontal="center" vertical="center" wrapText="1"/>
    </xf>
    <xf numFmtId="1" fontId="0" fillId="0" borderId="19" xfId="0" applyNumberFormat="1" applyBorder="1" applyAlignment="1">
      <alignment horizontal="center" vertical="center" wrapText="1"/>
    </xf>
    <xf numFmtId="1" fontId="0" fillId="0" borderId="36" xfId="0" applyNumberFormat="1" applyBorder="1" applyAlignment="1">
      <alignment horizontal="center" vertical="center" wrapText="1"/>
    </xf>
    <xf numFmtId="1" fontId="0" fillId="0" borderId="16"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1" fontId="3" fillId="0" borderId="16" xfId="0" applyNumberFormat="1" applyFont="1" applyBorder="1" applyAlignment="1">
      <alignment horizontal="center"/>
    </xf>
    <xf numFmtId="1" fontId="3" fillId="0" borderId="1" xfId="0" applyNumberFormat="1" applyFont="1" applyBorder="1" applyAlignment="1">
      <alignment horizontal="center"/>
    </xf>
    <xf numFmtId="1" fontId="3" fillId="0" borderId="14" xfId="0" applyNumberFormat="1" applyFont="1" applyBorder="1" applyAlignment="1">
      <alignment horizontal="center"/>
    </xf>
    <xf numFmtId="1" fontId="3" fillId="0" borderId="20" xfId="0" applyNumberFormat="1" applyFont="1" applyBorder="1" applyAlignment="1">
      <alignment horizontal="center"/>
    </xf>
    <xf numFmtId="1" fontId="0" fillId="0" borderId="19"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1" fontId="3" fillId="0" borderId="17" xfId="0" applyNumberFormat="1" applyFont="1" applyBorder="1" applyAlignment="1">
      <alignment horizontal="center"/>
    </xf>
    <xf numFmtId="0" fontId="30" fillId="0" borderId="0" xfId="0" applyFont="1"/>
    <xf numFmtId="0" fontId="4" fillId="0" borderId="37" xfId="0" applyFont="1" applyBorder="1" applyAlignment="1">
      <alignment horizontal="center"/>
    </xf>
    <xf numFmtId="3" fontId="4" fillId="2" borderId="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1" fontId="4" fillId="2" borderId="4" xfId="0" applyNumberFormat="1" applyFont="1" applyFill="1" applyBorder="1" applyAlignment="1" applyProtection="1">
      <alignment horizontal="center"/>
      <protection locked="0"/>
    </xf>
    <xf numFmtId="1" fontId="4" fillId="2" borderId="6" xfId="0" applyNumberFormat="1" applyFont="1" applyFill="1" applyBorder="1" applyAlignment="1" applyProtection="1">
      <alignment horizontal="center"/>
      <protection locked="0"/>
    </xf>
    <xf numFmtId="165" fontId="4" fillId="2" borderId="6"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vertical="top"/>
      <protection locked="0"/>
    </xf>
    <xf numFmtId="170" fontId="4" fillId="2" borderId="6" xfId="0" applyNumberFormat="1" applyFont="1" applyFill="1" applyBorder="1" applyAlignment="1" applyProtection="1">
      <alignment horizontal="center" vertical="top"/>
      <protection locked="0"/>
    </xf>
    <xf numFmtId="0" fontId="4" fillId="0" borderId="0" xfId="0" applyFont="1" applyFill="1" applyAlignment="1">
      <alignment horizontal="center" vertical="top"/>
    </xf>
    <xf numFmtId="0" fontId="4" fillId="0" borderId="0" xfId="0" applyFont="1" applyFill="1" applyAlignment="1">
      <alignment horizontal="center"/>
    </xf>
    <xf numFmtId="3" fontId="4" fillId="0" borderId="0" xfId="0" applyNumberFormat="1" applyFont="1" applyFill="1" applyAlignment="1">
      <alignment horizontal="center" vertical="top"/>
    </xf>
    <xf numFmtId="3" fontId="4" fillId="0" borderId="6" xfId="0" applyNumberFormat="1" applyFont="1" applyFill="1" applyBorder="1" applyAlignment="1">
      <alignment horizontal="center" vertical="top"/>
    </xf>
    <xf numFmtId="0" fontId="5" fillId="0" borderId="0" xfId="0" applyFont="1" applyFill="1" applyAlignment="1">
      <alignment horizontal="left" vertical="top"/>
    </xf>
    <xf numFmtId="3" fontId="4" fillId="0" borderId="6" xfId="0" applyNumberFormat="1" applyFont="1" applyFill="1" applyBorder="1" applyAlignment="1" applyProtection="1">
      <alignment horizontal="center" vertical="top"/>
    </xf>
    <xf numFmtId="0" fontId="4" fillId="0" borderId="0" xfId="0" applyFont="1" applyFill="1" applyAlignment="1">
      <alignment horizontal="left"/>
    </xf>
    <xf numFmtId="0" fontId="27" fillId="0" borderId="0" xfId="0" applyFont="1"/>
    <xf numFmtId="0" fontId="24" fillId="0" borderId="4" xfId="0" applyFont="1" applyBorder="1" applyAlignment="1"/>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8" fillId="0" borderId="39" xfId="0" applyFont="1" applyFill="1" applyBorder="1" applyAlignment="1">
      <alignment horizontal="center" wrapText="1"/>
    </xf>
    <xf numFmtId="0" fontId="24" fillId="0" borderId="5"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8" fillId="3" borderId="24" xfId="0" applyFont="1" applyFill="1" applyBorder="1" applyAlignment="1">
      <alignment horizontal="left"/>
    </xf>
    <xf numFmtId="0" fontId="8" fillId="3" borderId="30" xfId="0" applyFont="1" applyFill="1" applyBorder="1" applyAlignment="1">
      <alignment horizontal="left"/>
    </xf>
    <xf numFmtId="0" fontId="8" fillId="3" borderId="40" xfId="0" applyFont="1" applyFill="1" applyBorder="1" applyAlignment="1">
      <alignment horizontal="left"/>
    </xf>
    <xf numFmtId="0" fontId="24" fillId="3" borderId="41" xfId="0" applyFont="1" applyFill="1" applyBorder="1" applyAlignment="1">
      <alignment horizontal="center"/>
    </xf>
    <xf numFmtId="0" fontId="24" fillId="3" borderId="18" xfId="0" applyFont="1" applyFill="1" applyBorder="1" applyAlignment="1">
      <alignment horizontal="center"/>
    </xf>
    <xf numFmtId="0" fontId="24" fillId="3" borderId="36" xfId="0" applyFont="1" applyFill="1" applyBorder="1" applyAlignment="1">
      <alignment horizontal="center"/>
    </xf>
    <xf numFmtId="0" fontId="24" fillId="0" borderId="34" xfId="0" applyFont="1" applyBorder="1" applyAlignment="1">
      <alignment horizontal="center"/>
    </xf>
    <xf numFmtId="3" fontId="24" fillId="2" borderId="4" xfId="0" applyNumberFormat="1" applyFont="1" applyFill="1" applyBorder="1" applyAlignment="1" applyProtection="1">
      <alignment horizontal="center"/>
      <protection locked="0"/>
    </xf>
    <xf numFmtId="3" fontId="24" fillId="2" borderId="6" xfId="0" applyNumberFormat="1" applyFont="1" applyFill="1" applyBorder="1" applyAlignment="1" applyProtection="1">
      <alignment horizontal="center"/>
      <protection locked="0"/>
    </xf>
    <xf numFmtId="3" fontId="8" fillId="0" borderId="7" xfId="0" applyNumberFormat="1" applyFont="1" applyBorder="1" applyAlignment="1">
      <alignment horizontal="center"/>
    </xf>
    <xf numFmtId="165" fontId="24" fillId="0" borderId="4" xfId="0" applyNumberFormat="1" applyFont="1" applyBorder="1" applyAlignment="1">
      <alignment horizontal="center"/>
    </xf>
    <xf numFmtId="165" fontId="24" fillId="0" borderId="6" xfId="0" applyNumberFormat="1" applyFont="1" applyBorder="1" applyAlignment="1">
      <alignment horizontal="center"/>
    </xf>
    <xf numFmtId="165" fontId="24" fillId="0" borderId="7" xfId="0" applyNumberFormat="1" applyFont="1" applyBorder="1" applyAlignment="1">
      <alignment horizontal="center"/>
    </xf>
    <xf numFmtId="0" fontId="8" fillId="0" borderId="4" xfId="0" applyFont="1" applyBorder="1" applyAlignment="1">
      <alignment horizontal="right"/>
    </xf>
    <xf numFmtId="0" fontId="24" fillId="0" borderId="34" xfId="0" applyFont="1" applyBorder="1" applyAlignment="1">
      <alignment horizontal="left"/>
    </xf>
    <xf numFmtId="3" fontId="24" fillId="0" borderId="4" xfId="0" applyNumberFormat="1" applyFont="1" applyBorder="1" applyAlignment="1">
      <alignment horizontal="center"/>
    </xf>
    <xf numFmtId="3" fontId="24" fillId="0" borderId="6" xfId="0" applyNumberFormat="1" applyFont="1" applyBorder="1" applyAlignment="1">
      <alignment horizontal="center"/>
    </xf>
    <xf numFmtId="165" fontId="8" fillId="0" borderId="4" xfId="0" applyNumberFormat="1" applyFont="1" applyBorder="1" applyAlignment="1">
      <alignment horizontal="center"/>
    </xf>
    <xf numFmtId="165" fontId="8" fillId="0" borderId="6" xfId="0" applyNumberFormat="1" applyFont="1" applyBorder="1" applyAlignment="1">
      <alignment horizontal="center"/>
    </xf>
    <xf numFmtId="165" fontId="8" fillId="0" borderId="7" xfId="0" applyNumberFormat="1" applyFont="1" applyBorder="1" applyAlignment="1">
      <alignment horizontal="center"/>
    </xf>
    <xf numFmtId="2" fontId="24" fillId="0" borderId="4" xfId="0" applyNumberFormat="1" applyFont="1" applyBorder="1" applyAlignment="1">
      <alignment horizontal="center"/>
    </xf>
    <xf numFmtId="2" fontId="24" fillId="0" borderId="6" xfId="0" applyNumberFormat="1" applyFont="1" applyBorder="1" applyAlignment="1">
      <alignment horizontal="center"/>
    </xf>
    <xf numFmtId="2" fontId="8" fillId="0" borderId="7" xfId="0" applyNumberFormat="1" applyFont="1" applyBorder="1" applyAlignment="1">
      <alignment horizontal="center"/>
    </xf>
    <xf numFmtId="0" fontId="8" fillId="3" borderId="42" xfId="0" applyFont="1" applyFill="1" applyBorder="1" applyAlignment="1">
      <alignment horizontal="left"/>
    </xf>
    <xf numFmtId="0" fontId="8" fillId="3" borderId="31" xfId="0" applyFont="1" applyFill="1" applyBorder="1" applyAlignment="1">
      <alignment horizontal="left"/>
    </xf>
    <xf numFmtId="0" fontId="8" fillId="3" borderId="43" xfId="0" applyFont="1" applyFill="1" applyBorder="1" applyAlignment="1">
      <alignment horizontal="left"/>
    </xf>
    <xf numFmtId="165" fontId="24" fillId="3" borderId="4" xfId="0" applyNumberFormat="1" applyFont="1" applyFill="1" applyBorder="1" applyAlignment="1">
      <alignment horizontal="center"/>
    </xf>
    <xf numFmtId="165" fontId="24" fillId="3" borderId="6" xfId="0" applyNumberFormat="1" applyFont="1" applyFill="1" applyBorder="1" applyAlignment="1">
      <alignment horizontal="center"/>
    </xf>
    <xf numFmtId="165" fontId="24" fillId="3" borderId="7" xfId="0" applyNumberFormat="1" applyFont="1" applyFill="1" applyBorder="1" applyAlignment="1">
      <alignment horizontal="center"/>
    </xf>
    <xf numFmtId="1" fontId="24" fillId="2" borderId="4" xfId="0" applyNumberFormat="1" applyFont="1" applyFill="1" applyBorder="1" applyAlignment="1" applyProtection="1">
      <alignment horizontal="center"/>
      <protection locked="0"/>
    </xf>
    <xf numFmtId="1" fontId="24" fillId="2" borderId="6" xfId="0" applyNumberFormat="1" applyFont="1" applyFill="1" applyBorder="1" applyAlignment="1" applyProtection="1">
      <alignment horizontal="center"/>
      <protection locked="0"/>
    </xf>
    <xf numFmtId="1" fontId="8" fillId="0" borderId="7" xfId="0" applyNumberFormat="1" applyFont="1" applyBorder="1" applyAlignment="1">
      <alignment horizontal="center"/>
    </xf>
    <xf numFmtId="1" fontId="24" fillId="0" borderId="4" xfId="0" applyNumberFormat="1" applyFont="1" applyBorder="1" applyAlignment="1">
      <alignment horizontal="center"/>
    </xf>
    <xf numFmtId="1" fontId="24" fillId="0" borderId="6" xfId="0" applyNumberFormat="1" applyFont="1" applyBorder="1" applyAlignment="1">
      <alignment horizontal="center"/>
    </xf>
    <xf numFmtId="1" fontId="8" fillId="3" borderId="42" xfId="0" applyNumberFormat="1" applyFont="1" applyFill="1" applyBorder="1" applyAlignment="1">
      <alignment horizontal="left"/>
    </xf>
    <xf numFmtId="1" fontId="8" fillId="3" borderId="31" xfId="0" applyNumberFormat="1" applyFont="1" applyFill="1" applyBorder="1" applyAlignment="1">
      <alignment horizontal="left"/>
    </xf>
    <xf numFmtId="1" fontId="8" fillId="3" borderId="43" xfId="0" applyNumberFormat="1" applyFont="1" applyFill="1" applyBorder="1" applyAlignment="1">
      <alignment horizontal="left"/>
    </xf>
    <xf numFmtId="0" fontId="24" fillId="0" borderId="4" xfId="0" applyFont="1" applyBorder="1"/>
    <xf numFmtId="0" fontId="24" fillId="0" borderId="4" xfId="0" applyFont="1" applyBorder="1" applyAlignment="1">
      <alignment wrapText="1"/>
    </xf>
    <xf numFmtId="1" fontId="24" fillId="0" borderId="6" xfId="0" applyNumberFormat="1" applyFont="1" applyFill="1" applyBorder="1" applyAlignment="1">
      <alignment horizontal="center"/>
    </xf>
    <xf numFmtId="165" fontId="24" fillId="2" borderId="6" xfId="0" applyNumberFormat="1" applyFont="1" applyFill="1" applyBorder="1" applyAlignment="1" applyProtection="1">
      <alignment horizontal="center"/>
      <protection locked="0"/>
    </xf>
    <xf numFmtId="0" fontId="8" fillId="0" borderId="5" xfId="0" applyFont="1" applyBorder="1" applyAlignment="1">
      <alignment horizontal="right"/>
    </xf>
    <xf numFmtId="0" fontId="24" fillId="0" borderId="10" xfId="0" applyFont="1" applyBorder="1" applyAlignment="1">
      <alignment horizontal="left"/>
    </xf>
    <xf numFmtId="2" fontId="24" fillId="0" borderId="5" xfId="0" applyNumberFormat="1" applyFont="1" applyBorder="1" applyAlignment="1">
      <alignment horizontal="center"/>
    </xf>
    <xf numFmtId="2" fontId="24" fillId="0" borderId="38" xfId="0" applyNumberFormat="1" applyFont="1" applyBorder="1" applyAlignment="1">
      <alignment horizontal="center"/>
    </xf>
    <xf numFmtId="2" fontId="8" fillId="0" borderId="39" xfId="0" applyNumberFormat="1" applyFont="1" applyBorder="1" applyAlignment="1">
      <alignment horizontal="center"/>
    </xf>
    <xf numFmtId="165" fontId="8" fillId="0" borderId="5" xfId="0" applyNumberFormat="1" applyFont="1" applyBorder="1" applyAlignment="1">
      <alignment horizontal="center"/>
    </xf>
    <xf numFmtId="165" fontId="8" fillId="0" borderId="38" xfId="0" applyNumberFormat="1" applyFont="1" applyBorder="1" applyAlignment="1">
      <alignment horizontal="center"/>
    </xf>
    <xf numFmtId="165" fontId="8" fillId="0" borderId="39" xfId="0" applyNumberFormat="1" applyFont="1" applyBorder="1" applyAlignment="1">
      <alignment horizontal="center"/>
    </xf>
    <xf numFmtId="0" fontId="24" fillId="0" borderId="0" xfId="0" applyFont="1"/>
    <xf numFmtId="0" fontId="24" fillId="0" borderId="0" xfId="0" applyFont="1" applyAlignment="1">
      <alignment horizontal="center"/>
    </xf>
    <xf numFmtId="0" fontId="8" fillId="0" borderId="0" xfId="0" applyFont="1" applyAlignment="1">
      <alignment horizontal="center"/>
    </xf>
    <xf numFmtId="0" fontId="32" fillId="0" borderId="0" xfId="0" applyFont="1"/>
    <xf numFmtId="3" fontId="4" fillId="0" borderId="1" xfId="0" applyNumberFormat="1" applyFont="1" applyFill="1" applyBorder="1" applyAlignment="1">
      <alignment horizontal="left" vertical="top"/>
    </xf>
    <xf numFmtId="0" fontId="24" fillId="0" borderId="0" xfId="0" applyFont="1" applyAlignment="1">
      <alignment horizontal="left" vertical="top" wrapText="1"/>
    </xf>
    <xf numFmtId="0" fontId="8" fillId="0" borderId="0" xfId="0" applyFont="1" applyAlignment="1">
      <alignment horizontal="right" vertical="top"/>
    </xf>
    <xf numFmtId="0" fontId="24" fillId="0" borderId="0" xfId="0" applyFont="1" applyAlignment="1">
      <alignment vertical="top"/>
    </xf>
    <xf numFmtId="0" fontId="8" fillId="0" borderId="0" xfId="0" applyFont="1" applyAlignment="1">
      <alignment vertical="top" wrapText="1"/>
    </xf>
    <xf numFmtId="0" fontId="8" fillId="0" borderId="0" xfId="0" applyFont="1" applyAlignment="1">
      <alignment horizontal="right"/>
    </xf>
    <xf numFmtId="0" fontId="8" fillId="0" borderId="0" xfId="0" applyFont="1" applyFill="1" applyAlignment="1">
      <alignment horizontal="center" vertical="center"/>
    </xf>
    <xf numFmtId="0" fontId="33" fillId="0" borderId="0" xfId="0" applyFont="1"/>
    <xf numFmtId="0" fontId="35" fillId="0" borderId="0" xfId="0" applyFont="1"/>
    <xf numFmtId="0" fontId="0" fillId="0" borderId="19" xfId="0" applyBorder="1" applyAlignment="1">
      <alignment horizontal="left" vertical="center"/>
    </xf>
    <xf numFmtId="0" fontId="0" fillId="0" borderId="19" xfId="0" applyFill="1" applyBorder="1" applyAlignment="1">
      <alignment horizontal="left" vertical="center"/>
    </xf>
    <xf numFmtId="0" fontId="1" fillId="0" borderId="17" xfId="0" applyFont="1" applyBorder="1" applyAlignment="1">
      <alignment horizontal="left" vertical="center"/>
    </xf>
    <xf numFmtId="0" fontId="0" fillId="0" borderId="30"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center" vertical="top" wrapText="1"/>
    </xf>
    <xf numFmtId="0" fontId="0" fillId="0" borderId="17" xfId="0" applyFill="1" applyBorder="1" applyAlignment="1">
      <alignment horizontal="right" vertical="center"/>
    </xf>
    <xf numFmtId="0" fontId="0" fillId="0" borderId="3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Border="1" applyAlignment="1">
      <alignment horizontal="left" vertical="center"/>
    </xf>
    <xf numFmtId="0" fontId="4" fillId="0" borderId="29" xfId="0" applyFont="1" applyBorder="1"/>
    <xf numFmtId="0" fontId="0" fillId="0" borderId="14" xfId="0" applyBorder="1"/>
    <xf numFmtId="0" fontId="0" fillId="0" borderId="16" xfId="0" applyFill="1" applyBorder="1" applyAlignment="1">
      <alignment horizontal="left" vertical="center"/>
    </xf>
    <xf numFmtId="0" fontId="0" fillId="0" borderId="29" xfId="0" applyBorder="1"/>
    <xf numFmtId="0" fontId="1" fillId="0" borderId="14" xfId="0" applyFont="1" applyBorder="1" applyAlignment="1">
      <alignment horizontal="left" vertical="center"/>
    </xf>
    <xf numFmtId="0" fontId="0" fillId="0" borderId="29" xfId="0" applyFill="1" applyBorder="1" applyAlignment="1">
      <alignment horizontal="center" vertical="center" wrapText="1"/>
    </xf>
    <xf numFmtId="0" fontId="0" fillId="0" borderId="14" xfId="0" applyFill="1" applyBorder="1" applyAlignment="1">
      <alignment horizontal="center" vertical="center" wrapText="1"/>
    </xf>
    <xf numFmtId="3" fontId="4" fillId="0" borderId="0" xfId="0" applyNumberFormat="1" applyFont="1" applyFill="1" applyBorder="1" applyAlignment="1" applyProtection="1">
      <alignment horizontal="center" vertical="top"/>
    </xf>
    <xf numFmtId="0" fontId="5" fillId="0" borderId="37" xfId="0" applyFont="1" applyBorder="1" applyAlignment="1">
      <alignment horizontal="center" vertical="top"/>
    </xf>
    <xf numFmtId="0" fontId="5" fillId="0" borderId="37" xfId="0" applyFont="1" applyBorder="1" applyAlignment="1">
      <alignment vertical="top"/>
    </xf>
    <xf numFmtId="0" fontId="4" fillId="0" borderId="37" xfId="0" applyFont="1" applyBorder="1" applyAlignment="1">
      <alignment horizontal="left" vertical="top"/>
    </xf>
    <xf numFmtId="0" fontId="4" fillId="0" borderId="37" xfId="0" applyFont="1" applyBorder="1"/>
    <xf numFmtId="0" fontId="4" fillId="0" borderId="37" xfId="0" applyFont="1" applyFill="1" applyBorder="1"/>
    <xf numFmtId="0" fontId="5" fillId="0" borderId="0" xfId="0" applyFont="1" applyFill="1"/>
    <xf numFmtId="3" fontId="4" fillId="0" borderId="0" xfId="0" applyNumberFormat="1" applyFont="1" applyFill="1" applyBorder="1" applyAlignment="1">
      <alignment horizontal="right" vertical="top"/>
    </xf>
    <xf numFmtId="0" fontId="4" fillId="0" borderId="0" xfId="0" applyFont="1" applyAlignment="1">
      <alignment horizontal="right"/>
    </xf>
    <xf numFmtId="3" fontId="4" fillId="0" borderId="0" xfId="0" applyNumberFormat="1" applyFont="1" applyAlignment="1">
      <alignment horizontal="right" vertical="top"/>
    </xf>
    <xf numFmtId="3" fontId="4" fillId="6" borderId="6" xfId="0" applyNumberFormat="1" applyFont="1" applyFill="1" applyBorder="1" applyAlignment="1" applyProtection="1">
      <alignment horizontal="center" vertical="top"/>
    </xf>
    <xf numFmtId="0" fontId="4" fillId="0" borderId="0" xfId="0" applyFont="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horizontal="left" vertical="top"/>
    </xf>
    <xf numFmtId="170"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xf numFmtId="3" fontId="28" fillId="0" borderId="37" xfId="0" applyNumberFormat="1" applyFont="1" applyFill="1" applyBorder="1" applyAlignment="1">
      <alignment horizontal="center" vertical="top"/>
    </xf>
    <xf numFmtId="3" fontId="29" fillId="0" borderId="0" xfId="0" applyNumberFormat="1" applyFont="1" applyFill="1" applyBorder="1" applyAlignment="1">
      <alignment horizontal="center" vertical="top"/>
    </xf>
    <xf numFmtId="0" fontId="4" fillId="0" borderId="0" xfId="0" applyFont="1" applyFill="1" applyBorder="1" applyAlignment="1" applyProtection="1">
      <alignment horizontal="center" vertical="top"/>
    </xf>
    <xf numFmtId="0" fontId="13" fillId="0" borderId="0" xfId="0" applyFont="1" applyAlignment="1" applyProtection="1">
      <alignment horizontal="center"/>
    </xf>
    <xf numFmtId="0" fontId="30" fillId="0" borderId="0" xfId="0" applyFont="1" applyProtection="1"/>
    <xf numFmtId="0" fontId="4" fillId="0" borderId="0" xfId="0" applyFont="1" applyAlignment="1" applyProtection="1">
      <alignment horizontal="center"/>
    </xf>
    <xf numFmtId="0" fontId="10" fillId="0" borderId="0" xfId="0" applyFont="1" applyAlignment="1" applyProtection="1">
      <alignment horizontal="center"/>
    </xf>
    <xf numFmtId="0" fontId="4" fillId="0" borderId="0" xfId="0" applyFont="1" applyProtection="1"/>
    <xf numFmtId="0" fontId="4" fillId="0" borderId="0" xfId="0" applyFont="1" applyAlignment="1" applyProtection="1">
      <alignment horizontal="left"/>
    </xf>
    <xf numFmtId="0" fontId="5" fillId="0" borderId="0" xfId="0" applyFont="1" applyAlignment="1" applyProtection="1">
      <alignment horizontal="center"/>
    </xf>
    <xf numFmtId="0" fontId="5" fillId="0" borderId="44" xfId="0" applyFont="1" applyBorder="1" applyAlignment="1" applyProtection="1">
      <alignment horizontal="center"/>
    </xf>
    <xf numFmtId="0" fontId="5" fillId="0" borderId="45" xfId="0" applyFont="1" applyBorder="1" applyAlignment="1" applyProtection="1">
      <alignment horizontal="center"/>
    </xf>
    <xf numFmtId="0" fontId="5" fillId="0" borderId="45" xfId="0" applyFont="1" applyBorder="1" applyAlignment="1" applyProtection="1">
      <alignment horizontal="left"/>
    </xf>
    <xf numFmtId="0" fontId="4" fillId="0" borderId="45" xfId="0" applyFont="1" applyBorder="1" applyAlignment="1" applyProtection="1">
      <alignment horizontal="left"/>
    </xf>
    <xf numFmtId="0" fontId="4" fillId="0" borderId="46" xfId="0" applyFont="1" applyBorder="1" applyAlignment="1" applyProtection="1">
      <alignment horizontal="left"/>
    </xf>
    <xf numFmtId="0" fontId="4" fillId="0" borderId="25"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Border="1" applyAlignment="1" applyProtection="1">
      <alignment horizontal="left"/>
    </xf>
    <xf numFmtId="0" fontId="4" fillId="0" borderId="47" xfId="0" applyFont="1" applyBorder="1" applyAlignment="1" applyProtection="1">
      <alignment horizontal="left"/>
    </xf>
    <xf numFmtId="0" fontId="4" fillId="0" borderId="25" xfId="0" applyFont="1" applyBorder="1" applyAlignment="1" applyProtection="1">
      <alignment horizontal="left"/>
    </xf>
    <xf numFmtId="0" fontId="4" fillId="0" borderId="47" xfId="0" applyFont="1" applyBorder="1" applyAlignment="1" applyProtection="1"/>
    <xf numFmtId="0" fontId="4" fillId="0" borderId="48" xfId="0" applyFont="1" applyBorder="1" applyAlignment="1" applyProtection="1">
      <alignment horizontal="center"/>
    </xf>
    <xf numFmtId="0" fontId="4" fillId="0" borderId="37" xfId="0" applyFont="1" applyBorder="1" applyAlignment="1" applyProtection="1">
      <alignment horizontal="center"/>
    </xf>
    <xf numFmtId="0" fontId="4" fillId="0" borderId="37" xfId="0" applyFont="1" applyBorder="1" applyAlignment="1" applyProtection="1">
      <alignment horizontal="left"/>
    </xf>
    <xf numFmtId="0" fontId="4" fillId="0" borderId="49" xfId="0" applyFont="1" applyBorder="1" applyAlignment="1" applyProtection="1"/>
    <xf numFmtId="0" fontId="4" fillId="0" borderId="0" xfId="0" applyFont="1" applyAlignment="1" applyProtection="1"/>
    <xf numFmtId="0" fontId="8"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1" fillId="0" borderId="0" xfId="0" applyFont="1" applyAlignment="1" applyProtection="1">
      <alignment horizontal="center"/>
    </xf>
    <xf numFmtId="0" fontId="14" fillId="0" borderId="0" xfId="0" applyFont="1" applyAlignment="1" applyProtection="1">
      <alignment horizontal="center"/>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13" fillId="0" borderId="0" xfId="0" applyFont="1" applyAlignment="1" applyProtection="1">
      <alignment horizontal="center" wrapText="1"/>
    </xf>
    <xf numFmtId="0" fontId="6" fillId="0" borderId="5"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9" fillId="0" borderId="10"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38" xfId="0" applyFont="1" applyFill="1" applyBorder="1" applyAlignment="1" applyProtection="1">
      <alignment horizontal="center" wrapText="1"/>
    </xf>
    <xf numFmtId="0" fontId="6" fillId="0" borderId="39" xfId="0" applyFont="1" applyFill="1" applyBorder="1" applyAlignment="1" applyProtection="1">
      <alignment horizontal="center" wrapText="1"/>
    </xf>
    <xf numFmtId="0" fontId="6" fillId="0" borderId="0" xfId="0" applyFont="1" applyBorder="1" applyAlignment="1" applyProtection="1">
      <alignment horizontal="center" wrapText="1"/>
    </xf>
    <xf numFmtId="0" fontId="11" fillId="0" borderId="0" xfId="0" applyFont="1" applyBorder="1" applyAlignment="1" applyProtection="1">
      <alignment horizontal="center" vertical="top" wrapText="1"/>
    </xf>
    <xf numFmtId="0" fontId="12" fillId="0" borderId="0" xfId="0" applyFont="1" applyAlignment="1" applyProtection="1">
      <alignment horizontal="center" wrapText="1"/>
    </xf>
    <xf numFmtId="0" fontId="6" fillId="0" borderId="0" xfId="0" applyFont="1" applyAlignment="1" applyProtection="1">
      <alignment horizontal="center" wrapText="1"/>
    </xf>
    <xf numFmtId="0" fontId="5" fillId="3" borderId="24" xfId="0" applyFont="1" applyFill="1" applyBorder="1" applyAlignment="1" applyProtection="1">
      <alignment horizontal="left"/>
    </xf>
    <xf numFmtId="0" fontId="5" fillId="3" borderId="30" xfId="0" applyFont="1" applyFill="1" applyBorder="1" applyAlignment="1" applyProtection="1">
      <alignment horizontal="left"/>
    </xf>
    <xf numFmtId="0" fontId="4" fillId="3" borderId="41" xfId="0" applyFont="1" applyFill="1" applyBorder="1" applyAlignment="1" applyProtection="1">
      <alignment horizontal="center"/>
    </xf>
    <xf numFmtId="0" fontId="4" fillId="3" borderId="18" xfId="0" applyFont="1" applyFill="1" applyBorder="1" applyAlignment="1" applyProtection="1">
      <alignment horizontal="center"/>
    </xf>
    <xf numFmtId="0" fontId="4" fillId="3" borderId="36" xfId="0" applyFont="1" applyFill="1" applyBorder="1" applyAlignment="1" applyProtection="1">
      <alignment horizontal="center"/>
    </xf>
    <xf numFmtId="0" fontId="4"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24" fillId="0" borderId="4" xfId="0" applyFont="1" applyBorder="1" applyAlignment="1" applyProtection="1"/>
    <xf numFmtId="0" fontId="24" fillId="0" borderId="34" xfId="0" applyFont="1" applyBorder="1" applyAlignment="1" applyProtection="1">
      <alignment horizontal="center"/>
    </xf>
    <xf numFmtId="3" fontId="5" fillId="0" borderId="34" xfId="0" applyNumberFormat="1" applyFont="1" applyBorder="1" applyAlignment="1" applyProtection="1">
      <alignment horizontal="center"/>
    </xf>
    <xf numFmtId="165" fontId="4" fillId="0" borderId="4" xfId="0" applyNumberFormat="1" applyFont="1" applyBorder="1" applyAlignment="1" applyProtection="1">
      <alignment horizontal="center"/>
    </xf>
    <xf numFmtId="165" fontId="4" fillId="0" borderId="6" xfId="0" applyNumberFormat="1" applyFont="1" applyBorder="1" applyAlignment="1" applyProtection="1">
      <alignment horizontal="center"/>
    </xf>
    <xf numFmtId="165" fontId="4" fillId="0" borderId="7" xfId="0" applyNumberFormat="1" applyFont="1" applyBorder="1" applyAlignment="1" applyProtection="1">
      <alignment horizontal="center"/>
    </xf>
    <xf numFmtId="2" fontId="4" fillId="0" borderId="0" xfId="0" applyNumberFormat="1" applyFont="1" applyBorder="1" applyAlignment="1" applyProtection="1">
      <alignment horizontal="center"/>
    </xf>
    <xf numFmtId="2" fontId="10" fillId="0" borderId="0" xfId="0" applyNumberFormat="1" applyFont="1" applyBorder="1" applyAlignment="1" applyProtection="1">
      <alignment horizontal="center"/>
    </xf>
    <xf numFmtId="0" fontId="5" fillId="0" borderId="4" xfId="0" applyFont="1" applyBorder="1" applyAlignment="1" applyProtection="1">
      <alignment horizontal="right"/>
    </xf>
    <xf numFmtId="0" fontId="4" fillId="0" borderId="34" xfId="0" applyFont="1" applyBorder="1" applyAlignment="1" applyProtection="1">
      <alignment horizontal="left"/>
    </xf>
    <xf numFmtId="1" fontId="4" fillId="0" borderId="4" xfId="0" applyNumberFormat="1" applyFont="1" applyBorder="1" applyAlignment="1" applyProtection="1">
      <alignment horizontal="center"/>
    </xf>
    <xf numFmtId="1" fontId="4" fillId="0" borderId="6" xfId="0" applyNumberFormat="1" applyFont="1" applyBorder="1" applyAlignment="1" applyProtection="1">
      <alignment horizontal="center"/>
    </xf>
    <xf numFmtId="1" fontId="5" fillId="0" borderId="34" xfId="0" applyNumberFormat="1" applyFont="1" applyBorder="1" applyAlignment="1" applyProtection="1">
      <alignment horizontal="center"/>
    </xf>
    <xf numFmtId="165" fontId="5" fillId="0" borderId="4" xfId="0" applyNumberFormat="1" applyFont="1" applyBorder="1" applyAlignment="1" applyProtection="1">
      <alignment horizontal="center"/>
    </xf>
    <xf numFmtId="165" fontId="5" fillId="0" borderId="6" xfId="0" applyNumberFormat="1" applyFont="1" applyBorder="1" applyAlignment="1" applyProtection="1">
      <alignment horizontal="center"/>
    </xf>
    <xf numFmtId="165" fontId="5" fillId="0" borderId="7" xfId="0" applyNumberFormat="1" applyFont="1" applyBorder="1" applyAlignment="1" applyProtection="1">
      <alignment horizontal="center"/>
    </xf>
    <xf numFmtId="0" fontId="4" fillId="0" borderId="4" xfId="0" applyFont="1" applyBorder="1" applyAlignment="1" applyProtection="1"/>
    <xf numFmtId="0" fontId="4" fillId="0" borderId="34" xfId="0" applyFont="1" applyBorder="1" applyAlignment="1" applyProtection="1">
      <alignment horizontal="center"/>
    </xf>
    <xf numFmtId="0" fontId="10" fillId="0" borderId="0" xfId="0" applyFont="1" applyBorder="1" applyAlignment="1" applyProtection="1">
      <alignment horizontal="center"/>
    </xf>
    <xf numFmtId="0" fontId="5" fillId="3" borderId="42" xfId="0" applyFont="1" applyFill="1" applyBorder="1" applyAlignment="1" applyProtection="1">
      <alignment horizontal="left"/>
    </xf>
    <xf numFmtId="0" fontId="5" fillId="3" borderId="31" xfId="0" applyFont="1" applyFill="1" applyBorder="1" applyAlignment="1" applyProtection="1">
      <alignment horizontal="left"/>
    </xf>
    <xf numFmtId="1" fontId="5" fillId="3" borderId="42" xfId="0" applyNumberFormat="1" applyFont="1" applyFill="1" applyBorder="1" applyAlignment="1" applyProtection="1">
      <alignment horizontal="left"/>
    </xf>
    <xf numFmtId="1" fontId="5" fillId="3" borderId="31" xfId="0" applyNumberFormat="1" applyFont="1" applyFill="1" applyBorder="1" applyAlignment="1" applyProtection="1">
      <alignment horizontal="left"/>
    </xf>
    <xf numFmtId="165" fontId="4" fillId="3" borderId="4" xfId="0" applyNumberFormat="1" applyFont="1" applyFill="1" applyBorder="1" applyAlignment="1" applyProtection="1">
      <alignment horizontal="center"/>
    </xf>
    <xf numFmtId="165" fontId="4" fillId="3" borderId="6" xfId="0" applyNumberFormat="1" applyFont="1" applyFill="1" applyBorder="1" applyAlignment="1" applyProtection="1">
      <alignment horizontal="center"/>
    </xf>
    <xf numFmtId="165" fontId="4" fillId="3" borderId="7" xfId="0" applyNumberFormat="1" applyFont="1" applyFill="1" applyBorder="1" applyAlignment="1" applyProtection="1">
      <alignment horizontal="center"/>
    </xf>
    <xf numFmtId="2" fontId="5" fillId="0" borderId="0" xfId="0" applyNumberFormat="1" applyFont="1" applyBorder="1" applyAlignment="1" applyProtection="1">
      <alignment horizontal="center"/>
    </xf>
    <xf numFmtId="2" fontId="11" fillId="0" borderId="0" xfId="0" applyNumberFormat="1" applyFont="1" applyBorder="1" applyAlignment="1" applyProtection="1">
      <alignment horizontal="center"/>
    </xf>
    <xf numFmtId="0" fontId="4" fillId="0" borderId="4" xfId="0" applyFont="1" applyBorder="1" applyProtection="1"/>
    <xf numFmtId="0" fontId="4" fillId="0" borderId="4" xfId="0" applyFont="1" applyBorder="1" applyAlignment="1" applyProtection="1">
      <alignment wrapText="1"/>
    </xf>
    <xf numFmtId="1" fontId="4" fillId="0" borderId="6" xfId="0" applyNumberFormat="1" applyFont="1" applyFill="1" applyBorder="1" applyAlignment="1" applyProtection="1">
      <alignment horizontal="center"/>
    </xf>
    <xf numFmtId="0" fontId="5" fillId="0" borderId="5" xfId="0" applyFont="1" applyBorder="1" applyAlignment="1" applyProtection="1">
      <alignment horizontal="right"/>
    </xf>
    <xf numFmtId="0" fontId="4" fillId="0" borderId="10" xfId="0" applyFont="1" applyBorder="1" applyAlignment="1" applyProtection="1">
      <alignment horizontal="left"/>
    </xf>
    <xf numFmtId="1" fontId="4" fillId="0" borderId="5" xfId="0" applyNumberFormat="1" applyFont="1" applyBorder="1" applyAlignment="1" applyProtection="1">
      <alignment horizontal="center"/>
    </xf>
    <xf numFmtId="1" fontId="4" fillId="0" borderId="38" xfId="0" applyNumberFormat="1" applyFont="1" applyBorder="1" applyAlignment="1" applyProtection="1">
      <alignment horizontal="center"/>
    </xf>
    <xf numFmtId="1" fontId="5" fillId="0" borderId="10" xfId="0" applyNumberFormat="1" applyFont="1" applyBorder="1" applyAlignment="1" applyProtection="1">
      <alignment horizontal="center"/>
    </xf>
    <xf numFmtId="165" fontId="5" fillId="0" borderId="5" xfId="0" applyNumberFormat="1" applyFont="1" applyBorder="1" applyAlignment="1" applyProtection="1">
      <alignment horizontal="center"/>
    </xf>
    <xf numFmtId="165" fontId="5" fillId="0" borderId="38" xfId="0" applyNumberFormat="1" applyFont="1" applyBorder="1" applyAlignment="1" applyProtection="1">
      <alignment horizontal="center"/>
    </xf>
    <xf numFmtId="165" fontId="5" fillId="0" borderId="39" xfId="0" applyNumberFormat="1" applyFont="1" applyBorder="1" applyAlignment="1" applyProtection="1">
      <alignment horizontal="center"/>
    </xf>
    <xf numFmtId="0" fontId="5" fillId="0" borderId="0" xfId="0" applyFont="1" applyBorder="1" applyAlignment="1" applyProtection="1">
      <alignment horizontal="right"/>
    </xf>
    <xf numFmtId="1" fontId="4" fillId="0" borderId="0" xfId="0" applyNumberFormat="1" applyFont="1" applyAlignment="1" applyProtection="1">
      <alignment horizontal="center"/>
    </xf>
    <xf numFmtId="165" fontId="0" fillId="0" borderId="18" xfId="0" applyNumberFormat="1" applyBorder="1" applyAlignment="1">
      <alignment horizontal="center" vertical="center" wrapText="1"/>
    </xf>
    <xf numFmtId="0" fontId="5" fillId="0" borderId="16" xfId="0" applyFont="1" applyBorder="1" applyAlignment="1">
      <alignment horizontal="left" vertical="top"/>
    </xf>
    <xf numFmtId="0" fontId="5" fillId="0" borderId="29" xfId="0" applyFont="1" applyBorder="1" applyAlignment="1">
      <alignment horizontal="left" vertical="top"/>
    </xf>
    <xf numFmtId="0" fontId="5" fillId="0" borderId="14" xfId="0" applyFont="1" applyBorder="1" applyAlignment="1">
      <alignment horizontal="left" vertical="top"/>
    </xf>
    <xf numFmtId="0" fontId="4" fillId="0" borderId="1" xfId="0" applyFont="1" applyFill="1" applyBorder="1"/>
    <xf numFmtId="0" fontId="5" fillId="0" borderId="0" xfId="0" applyFont="1" applyBorder="1" applyAlignment="1">
      <alignment horizontal="left" vertical="top"/>
    </xf>
    <xf numFmtId="0" fontId="4" fillId="0" borderId="20" xfId="0" applyFont="1" applyBorder="1" applyAlignment="1">
      <alignment horizontal="center"/>
    </xf>
    <xf numFmtId="0" fontId="4" fillId="0" borderId="20" xfId="0" applyFont="1" applyBorder="1" applyAlignment="1">
      <alignment horizontal="center" vertical="top"/>
    </xf>
    <xf numFmtId="0" fontId="5" fillId="0" borderId="19" xfId="0" applyFont="1" applyBorder="1"/>
    <xf numFmtId="0" fontId="5" fillId="0" borderId="30" xfId="0" applyFont="1" applyBorder="1" applyAlignment="1">
      <alignment horizontal="left" vertical="top"/>
    </xf>
    <xf numFmtId="0" fontId="5" fillId="0" borderId="17" xfId="0" applyFont="1" applyBorder="1" applyAlignment="1">
      <alignment horizontal="left" vertical="top"/>
    </xf>
    <xf numFmtId="0" fontId="16" fillId="0" borderId="0" xfId="0" applyFont="1" applyFill="1" applyAlignment="1">
      <alignment vertical="center"/>
    </xf>
    <xf numFmtId="3" fontId="4" fillId="7" borderId="6" xfId="0" applyNumberFormat="1" applyFont="1" applyFill="1" applyBorder="1" applyAlignment="1" applyProtection="1">
      <alignment horizontal="center" vertical="top"/>
      <protection locked="0"/>
    </xf>
    <xf numFmtId="170" fontId="4" fillId="7" borderId="6" xfId="0" applyNumberFormat="1" applyFont="1" applyFill="1" applyBorder="1" applyAlignment="1" applyProtection="1">
      <alignment horizontal="center" vertical="top"/>
      <protection locked="0"/>
    </xf>
    <xf numFmtId="0" fontId="24" fillId="0" borderId="0" xfId="0" applyFont="1" applyAlignment="1">
      <alignment horizontal="left" vertical="top" wrapText="1"/>
    </xf>
    <xf numFmtId="0" fontId="36" fillId="0" borderId="0" xfId="0" applyFont="1" applyAlignment="1" applyProtection="1">
      <alignment horizontal="center" vertical="top" wrapText="1"/>
      <protection locked="0"/>
    </xf>
    <xf numFmtId="0" fontId="33" fillId="0" borderId="0" xfId="0" applyFont="1" applyAlignment="1">
      <alignment horizontal="left" vertical="top" wrapText="1"/>
    </xf>
    <xf numFmtId="0" fontId="15" fillId="2" borderId="34" xfId="0" applyFont="1" applyFill="1" applyBorder="1" applyAlignment="1" applyProtection="1">
      <alignment horizontal="center"/>
      <protection locked="0"/>
    </xf>
    <xf numFmtId="0" fontId="15" fillId="2" borderId="31" xfId="0" applyFont="1" applyFill="1" applyBorder="1" applyAlignment="1" applyProtection="1">
      <alignment horizontal="center"/>
      <protection locked="0"/>
    </xf>
    <xf numFmtId="0" fontId="15" fillId="2" borderId="32" xfId="0" applyFont="1" applyFill="1" applyBorder="1" applyAlignment="1" applyProtection="1">
      <alignment horizontal="center"/>
      <protection locked="0"/>
    </xf>
    <xf numFmtId="0" fontId="8" fillId="0" borderId="50"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4" xfId="0" applyFont="1" applyFill="1" applyBorder="1" applyAlignment="1">
      <alignment horizontal="center"/>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5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0" xfId="0" applyFont="1" applyFill="1" applyBorder="1" applyAlignment="1">
      <alignment horizontal="center" vertical="center"/>
    </xf>
    <xf numFmtId="0" fontId="8" fillId="2" borderId="34"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32" xfId="0" applyFont="1" applyFill="1" applyBorder="1" applyAlignment="1" applyProtection="1">
      <alignment horizontal="left" vertical="center"/>
      <protection locked="0"/>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23" fillId="0" borderId="0" xfId="0" applyFont="1" applyAlignment="1">
      <alignment horizontal="left" vertical="top" wrapText="1"/>
    </xf>
    <xf numFmtId="0" fontId="1" fillId="0" borderId="34"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5" fillId="2" borderId="34" xfId="0" applyFont="1" applyFill="1" applyBorder="1" applyAlignment="1" applyProtection="1">
      <alignment horizontal="left"/>
      <protection locked="0"/>
    </xf>
    <xf numFmtId="0" fontId="15" fillId="2" borderId="31" xfId="0" applyFont="1" applyFill="1" applyBorder="1" applyAlignment="1" applyProtection="1">
      <alignment horizontal="left"/>
      <protection locked="0"/>
    </xf>
    <xf numFmtId="0" fontId="15" fillId="2" borderId="32" xfId="0" applyFont="1" applyFill="1" applyBorder="1" applyAlignment="1" applyProtection="1">
      <alignment horizontal="left"/>
      <protection locked="0"/>
    </xf>
    <xf numFmtId="0" fontId="8" fillId="0" borderId="50"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4" xfId="0" applyFont="1" applyFill="1" applyBorder="1" applyAlignment="1" applyProtection="1">
      <alignment horizontal="center"/>
    </xf>
    <xf numFmtId="0" fontId="8" fillId="0" borderId="45" xfId="0" applyFont="1" applyFill="1" applyBorder="1" applyAlignment="1" applyProtection="1">
      <alignment horizontal="center"/>
    </xf>
    <xf numFmtId="0" fontId="5" fillId="0" borderId="5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11" xfId="0" applyBorder="1"/>
    <xf numFmtId="0" fontId="0" fillId="0" borderId="12"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400" b="1" i="0" u="none" strike="noStrike" baseline="0">
                <a:solidFill>
                  <a:srgbClr val="000000"/>
                </a:solidFill>
                <a:latin typeface="Arial"/>
                <a:ea typeface="Arial"/>
                <a:cs typeface="Arial"/>
              </a:defRPr>
            </a:pPr>
            <a:r>
              <a:t>Fig 1. Approx Greenhouse Gas (total of CH4 and N2O) for Different Types of Treatment Works and Population Served</a:t>
            </a:r>
          </a:p>
        </c:rich>
      </c:tx>
      <c:layout>
        <c:manualLayout>
          <c:xMode val="edge"/>
          <c:yMode val="edge"/>
          <c:x val="0.10317726875797675"/>
          <c:y val="2.8254878219007767E-2"/>
        </c:manualLayout>
      </c:layout>
      <c:spPr>
        <a:noFill/>
        <a:ln w="25400">
          <a:noFill/>
        </a:ln>
      </c:spPr>
    </c:title>
    <c:plotArea>
      <c:layout>
        <c:manualLayout>
          <c:layoutTarget val="inner"/>
          <c:xMode val="edge"/>
          <c:yMode val="edge"/>
          <c:x val="7.6645971077354158E-2"/>
          <c:y val="0.15789490769445516"/>
          <c:w val="0.89813355852181675"/>
          <c:h val="0.72299247207461059"/>
        </c:manualLayout>
      </c:layout>
      <c:scatterChart>
        <c:scatterStyle val="lineMarker"/>
        <c:ser>
          <c:idx val="3"/>
          <c:order val="0"/>
          <c:tx>
            <c:strRef>
              <c:f>'STW Graphs'!$D$96</c:f>
              <c:strCache>
                <c:ptCount val="1"/>
                <c:pt idx="0">
                  <c:v>Shallow anaerobic lagoon (&lt;2m)</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Graphs'!$G$116:$G$119</c:f>
              <c:numCache>
                <c:formatCode>0</c:formatCode>
                <c:ptCount val="4"/>
              </c:numCache>
            </c:numRef>
          </c:yVal>
        </c:ser>
        <c:ser>
          <c:idx val="1"/>
          <c:order val="1"/>
          <c:spPr>
            <a:ln w="12700">
              <a:solidFill>
                <a:srgbClr val="9933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Graphs'!$I$116:$I$119</c:f>
              <c:numCache>
                <c:formatCode>0</c:formatCode>
                <c:ptCount val="4"/>
              </c:numCache>
            </c:numRef>
          </c:yVal>
        </c:ser>
        <c:ser>
          <c:idx val="5"/>
          <c:order val="2"/>
          <c:tx>
            <c:strRef>
              <c:f>'STW Graphs'!$D$92</c:f>
              <c:strCache>
                <c:ptCount val="1"/>
                <c:pt idx="0">
                  <c:v>Unmanaged aerobic treatment</c:v>
                </c:pt>
              </c:strCache>
            </c:strRef>
          </c:tx>
          <c:spPr>
            <a:ln w="25400">
              <a:solidFill>
                <a:srgbClr val="80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Graphs'!$J$116:$J$119</c:f>
              <c:numCache>
                <c:formatCode>0</c:formatCode>
                <c:ptCount val="4"/>
              </c:numCache>
            </c:numRef>
          </c:yVal>
        </c:ser>
        <c:ser>
          <c:idx val="7"/>
          <c:order val="3"/>
          <c:spPr>
            <a:ln w="127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Graphs'!$O$116:$O$119</c:f>
              <c:numCache>
                <c:formatCode>0</c:formatCode>
                <c:ptCount val="4"/>
              </c:numCache>
            </c:numRef>
          </c:yVal>
        </c:ser>
        <c:ser>
          <c:idx val="0"/>
          <c:order val="4"/>
          <c:spPr>
            <a:ln w="25400">
              <a:solidFill>
                <a:srgbClr val="0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Graphs'!$P$116:$P$119</c:f>
              <c:numCache>
                <c:formatCode>0</c:formatCode>
                <c:ptCount val="4"/>
              </c:numCache>
            </c:numRef>
          </c:yVal>
        </c:ser>
        <c:ser>
          <c:idx val="10"/>
          <c:order val="5"/>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Graphs'!$D$116:$D$119</c:f>
              <c:numCache>
                <c:formatCode>General</c:formatCode>
                <c:ptCount val="4"/>
                <c:pt idx="0">
                  <c:v>1000</c:v>
                </c:pt>
                <c:pt idx="1">
                  <c:v>5000</c:v>
                </c:pt>
                <c:pt idx="2">
                  <c:v>10000</c:v>
                </c:pt>
                <c:pt idx="3">
                  <c:v>50000</c:v>
                </c:pt>
              </c:numCache>
            </c:numRef>
          </c:xVal>
          <c:yVal>
            <c:numRef>
              <c:f>'STW Graphs'!$L$116:$L$119</c:f>
              <c:numCache>
                <c:formatCode>0</c:formatCode>
                <c:ptCount val="4"/>
              </c:numCache>
            </c:numRef>
          </c:yVal>
        </c:ser>
        <c:ser>
          <c:idx val="11"/>
          <c:order val="6"/>
          <c:tx>
            <c:strRef>
              <c:f>'STW Graphs'!$D$94</c:f>
              <c:strCache>
                <c:ptCount val="1"/>
                <c:pt idx="0">
                  <c:v>Anaerobic (digester)</c:v>
                </c:pt>
              </c:strCache>
            </c:strRef>
          </c:tx>
          <c:spPr>
            <a:ln w="25400">
              <a:solidFill>
                <a:srgbClr val="008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Graphs'!$M$116:$M$119</c:f>
              <c:numCache>
                <c:formatCode>0</c:formatCode>
                <c:ptCount val="4"/>
              </c:numCache>
            </c:numRef>
          </c:yVal>
        </c:ser>
        <c:ser>
          <c:idx val="4"/>
          <c:order val="7"/>
          <c:tx>
            <c:strRef>
              <c:f>'STW Graphs'!$Q$116</c:f>
              <c:strCache>
                <c:ptCount val="1"/>
                <c:pt idx="0">
                  <c:v>149</c:v>
                </c:pt>
              </c:strCache>
            </c:strRef>
          </c:tx>
          <c:spPr>
            <a:ln w="25400">
              <a:solidFill>
                <a:srgbClr val="800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Graphs'!$Q$116:$Q$119</c:f>
              <c:numCache>
                <c:formatCode>0</c:formatCode>
                <c:ptCount val="4"/>
                <c:pt idx="0">
                  <c:v>149.37282000000002</c:v>
                </c:pt>
                <c:pt idx="1">
                  <c:v>746.86410000000012</c:v>
                </c:pt>
                <c:pt idx="2">
                  <c:v>1493.7282000000002</c:v>
                </c:pt>
                <c:pt idx="3">
                  <c:v>7468.6410000000014</c:v>
                </c:pt>
              </c:numCache>
            </c:numRef>
          </c:yVal>
        </c:ser>
        <c:ser>
          <c:idx val="2"/>
          <c:order val="8"/>
          <c:tx>
            <c:strRef>
              <c:f>'STW Graphs'!$E$109</c:f>
              <c:strCache>
                <c:ptCount val="1"/>
                <c:pt idx="0">
                  <c:v>Shallow Anaerobic Pond AN</c:v>
                </c:pt>
              </c:strCache>
            </c:strRef>
          </c:tx>
          <c:spPr>
            <a:ln w="25400">
              <a:solidFill>
                <a:srgbClr val="FF66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Graphs'!$E$116:$E$119</c:f>
              <c:numCache>
                <c:formatCode>0</c:formatCode>
                <c:ptCount val="4"/>
                <c:pt idx="0">
                  <c:v>43.132139999999993</c:v>
                </c:pt>
                <c:pt idx="1">
                  <c:v>215.66070000000002</c:v>
                </c:pt>
                <c:pt idx="2">
                  <c:v>431.32140000000004</c:v>
                </c:pt>
                <c:pt idx="3">
                  <c:v>2156.607</c:v>
                </c:pt>
              </c:numCache>
            </c:numRef>
          </c:yVal>
        </c:ser>
        <c:ser>
          <c:idx val="6"/>
          <c:order val="9"/>
          <c:tx>
            <c:strRef>
              <c:f>'STW Graphs'!$H$109</c:f>
              <c:strCache>
                <c:ptCount val="1"/>
                <c:pt idx="0">
                  <c:v>Unmanaged aerobic</c:v>
                </c:pt>
              </c:strCache>
            </c:strRef>
          </c:tx>
          <c:spPr>
            <a:ln w="25400">
              <a:solidFill>
                <a:srgbClr val="00808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Graphs'!$H$116:$H$119</c:f>
              <c:numCache>
                <c:formatCode>0</c:formatCode>
                <c:ptCount val="4"/>
                <c:pt idx="0">
                  <c:v>57.118319999999997</c:v>
                </c:pt>
                <c:pt idx="1">
                  <c:v>285.59159999999997</c:v>
                </c:pt>
                <c:pt idx="2">
                  <c:v>571.18319999999994</c:v>
                </c:pt>
                <c:pt idx="3">
                  <c:v>2855.9159999999997</c:v>
                </c:pt>
              </c:numCache>
            </c:numRef>
          </c:yVal>
        </c:ser>
        <c:ser>
          <c:idx val="8"/>
          <c:order val="10"/>
          <c:tx>
            <c:strRef>
              <c:f>'STW Graphs'!$K$109</c:f>
              <c:strCache>
                <c:ptCount val="1"/>
                <c:pt idx="0">
                  <c:v>Managed aerobic</c:v>
                </c:pt>
              </c:strCache>
            </c:strRef>
          </c:tx>
          <c:spPr>
            <a:ln w="25400">
              <a:solidFill>
                <a:srgbClr val="FF0000"/>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Graphs'!$K$116:$K$119</c:f>
              <c:numCache>
                <c:formatCode>0</c:formatCode>
                <c:ptCount val="4"/>
                <c:pt idx="0">
                  <c:v>19.624500000000001</c:v>
                </c:pt>
                <c:pt idx="1">
                  <c:v>98.122500000000002</c:v>
                </c:pt>
                <c:pt idx="2">
                  <c:v>196.245</c:v>
                </c:pt>
                <c:pt idx="3">
                  <c:v>981.22500000000002</c:v>
                </c:pt>
              </c:numCache>
            </c:numRef>
          </c:yVal>
        </c:ser>
        <c:ser>
          <c:idx val="9"/>
          <c:order val="11"/>
          <c:tx>
            <c:strRef>
              <c:f>'STW Graphs'!$N$109</c:f>
              <c:strCache>
                <c:ptCount val="1"/>
                <c:pt idx="0">
                  <c:v>Anaerobic Pond AN</c:v>
                </c:pt>
              </c:strCache>
            </c:strRef>
          </c:tx>
          <c:spPr>
            <a:ln w="25400">
              <a:solidFill>
                <a:srgbClr val="0000FF"/>
              </a:solidFill>
              <a:prstDash val="solid"/>
            </a:ln>
          </c:spPr>
          <c:marker>
            <c:symbol val="none"/>
          </c:marker>
          <c:xVal>
            <c:numRef>
              <c:f>'STW Graphs'!$D$116:$D$119</c:f>
              <c:numCache>
                <c:formatCode>General</c:formatCode>
                <c:ptCount val="4"/>
                <c:pt idx="0">
                  <c:v>1000</c:v>
                </c:pt>
                <c:pt idx="1">
                  <c:v>5000</c:v>
                </c:pt>
                <c:pt idx="2">
                  <c:v>10000</c:v>
                </c:pt>
                <c:pt idx="3">
                  <c:v>50000</c:v>
                </c:pt>
              </c:numCache>
            </c:numRef>
          </c:xVal>
          <c:yVal>
            <c:numRef>
              <c:f>'STW Graphs'!$N$116:$N$119</c:f>
              <c:numCache>
                <c:formatCode>0</c:formatCode>
                <c:ptCount val="4"/>
                <c:pt idx="0">
                  <c:v>149.37282000000002</c:v>
                </c:pt>
                <c:pt idx="1">
                  <c:v>746.86410000000012</c:v>
                </c:pt>
                <c:pt idx="2">
                  <c:v>1493.7282000000002</c:v>
                </c:pt>
                <c:pt idx="3">
                  <c:v>7468.6410000000014</c:v>
                </c:pt>
              </c:numCache>
            </c:numRef>
          </c:yVal>
        </c:ser>
        <c:axId val="47156224"/>
        <c:axId val="47166976"/>
      </c:scatterChart>
      <c:valAx>
        <c:axId val="47156224"/>
        <c:scaling>
          <c:orientation val="minMax"/>
          <c:max val="45000"/>
        </c:scaling>
        <c:axPos val="b"/>
        <c:title>
          <c:tx>
            <c:rich>
              <a:bodyPr/>
              <a:lstStyle/>
              <a:p>
                <a:pPr>
                  <a:defRPr sz="1200" b="1" i="0" u="none" strike="noStrike" baseline="0">
                    <a:solidFill>
                      <a:srgbClr val="000000"/>
                    </a:solidFill>
                    <a:latin typeface="Arial"/>
                    <a:ea typeface="Arial"/>
                    <a:cs typeface="Arial"/>
                  </a:defRPr>
                </a:pPr>
                <a:r>
                  <a:t>Population</a:t>
                </a:r>
              </a:p>
            </c:rich>
          </c:tx>
          <c:layout>
            <c:manualLayout>
              <c:xMode val="edge"/>
              <c:yMode val="edge"/>
              <c:x val="0.48247656152539609"/>
              <c:y val="0.93241098122725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166976"/>
        <c:crosses val="autoZero"/>
        <c:crossBetween val="midCat"/>
        <c:majorUnit val="5000"/>
      </c:valAx>
      <c:valAx>
        <c:axId val="47166976"/>
        <c:scaling>
          <c:orientation val="minMax"/>
          <c:max val="2000"/>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Emissions (Tonnes CO2 equivalent)</a:t>
                </a:r>
              </a:p>
            </c:rich>
          </c:tx>
          <c:layout>
            <c:manualLayout>
              <c:xMode val="edge"/>
              <c:yMode val="edge"/>
              <c:x val="4.9132032741893697E-3"/>
              <c:y val="0.267590317250603"/>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156224"/>
        <c:crosses val="autoZero"/>
        <c:crossBetween val="midCat"/>
        <c:majorUnit val="200"/>
      </c:valAx>
      <c:spPr>
        <a:solidFill>
          <a:srgbClr val="FFFFFF"/>
        </a:solidFill>
        <a:ln w="3175">
          <a:solidFill>
            <a:srgbClr val="808080"/>
          </a:solidFill>
          <a:prstDash val="solid"/>
        </a:ln>
      </c:spPr>
    </c:plotArea>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sz="1400" b="1" i="0" u="none" strike="noStrike" baseline="0">
                <a:solidFill>
                  <a:srgbClr val="000000"/>
                </a:solidFill>
                <a:latin typeface="Arial"/>
                <a:ea typeface="Arial"/>
                <a:cs typeface="Arial"/>
              </a:defRPr>
            </a:pPr>
            <a:r>
              <a:t>Fig 2. Approx Greenhouse Gas (total of CH4 and N2O) for Different Types of Treatment Works and Volume Treated</a:t>
            </a:r>
          </a:p>
        </c:rich>
      </c:tx>
      <c:layout>
        <c:manualLayout>
          <c:xMode val="edge"/>
          <c:yMode val="edge"/>
          <c:x val="0.14895729890764647"/>
          <c:y val="2.8254878219007767E-2"/>
        </c:manualLayout>
      </c:layout>
      <c:spPr>
        <a:noFill/>
        <a:ln w="25400">
          <a:noFill/>
        </a:ln>
      </c:spPr>
    </c:title>
    <c:plotArea>
      <c:layout>
        <c:manualLayout>
          <c:layoutTarget val="inner"/>
          <c:xMode val="edge"/>
          <c:yMode val="edge"/>
          <c:x val="7.9443892750744788E-2"/>
          <c:y val="0.20277030251287928"/>
          <c:w val="0.89970208540218466"/>
          <c:h val="0.70803400713513587"/>
        </c:manualLayout>
      </c:layout>
      <c:scatterChart>
        <c:scatterStyle val="lineMarker"/>
        <c:ser>
          <c:idx val="0"/>
          <c:order val="0"/>
          <c:tx>
            <c:strRef>
              <c:f>'STW Graphs'!$D$97</c:f>
              <c:strCache>
                <c:ptCount val="1"/>
                <c:pt idx="0">
                  <c:v>Deep anaerobic lagoon (&gt;2m)</c:v>
                </c:pt>
              </c:strCache>
            </c:strRef>
          </c:tx>
          <c:spPr>
            <a:ln w="127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Graphs'!$F$122:$F$126</c:f>
              <c:numCache>
                <c:formatCode>0</c:formatCode>
                <c:ptCount val="5"/>
              </c:numCache>
            </c:numRef>
          </c:yVal>
        </c:ser>
        <c:ser>
          <c:idx val="3"/>
          <c:order val="1"/>
          <c:tx>
            <c:strRef>
              <c:f>'STW Graphs'!$D$96</c:f>
              <c:strCache>
                <c:ptCount val="1"/>
                <c:pt idx="0">
                  <c:v>Shallow anaerobic lagoon (&lt;2m)</c:v>
                </c:pt>
              </c:strCache>
            </c:strRef>
          </c:tx>
          <c:spPr>
            <a:ln w="254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Graphs'!$G$122:$G$126</c:f>
              <c:numCache>
                <c:formatCode>0</c:formatCode>
                <c:ptCount val="5"/>
              </c:numCache>
            </c:numRef>
          </c:yVal>
        </c:ser>
        <c:ser>
          <c:idx val="1"/>
          <c:order val="2"/>
          <c:spPr>
            <a:ln w="12700">
              <a:solidFill>
                <a:srgbClr val="9933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Graphs'!$I$122:$I$126</c:f>
              <c:numCache>
                <c:formatCode>0</c:formatCode>
                <c:ptCount val="5"/>
              </c:numCache>
            </c:numRef>
          </c:yVal>
        </c:ser>
        <c:ser>
          <c:idx val="5"/>
          <c:order val="3"/>
          <c:tx>
            <c:strRef>
              <c:f>'STW Graphs'!$D$92</c:f>
              <c:strCache>
                <c:ptCount val="1"/>
                <c:pt idx="0">
                  <c:v>Unmanaged aerobic treatment</c:v>
                </c:pt>
              </c:strCache>
            </c:strRef>
          </c:tx>
          <c:spPr>
            <a:ln w="25400">
              <a:solidFill>
                <a:srgbClr val="800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Graphs'!$J$122:$J$126</c:f>
              <c:numCache>
                <c:formatCode>0</c:formatCode>
                <c:ptCount val="5"/>
              </c:numCache>
            </c:numRef>
          </c:yVal>
        </c:ser>
        <c:ser>
          <c:idx val="7"/>
          <c:order val="4"/>
          <c:spPr>
            <a:ln w="12700">
              <a:solidFill>
                <a:srgbClr val="0000FF"/>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Graphs'!$O$122:$O$126</c:f>
              <c:numCache>
                <c:formatCode>0</c:formatCode>
                <c:ptCount val="5"/>
              </c:numCache>
            </c:numRef>
          </c:yVal>
        </c:ser>
        <c:ser>
          <c:idx val="0"/>
          <c:order val="5"/>
          <c:spPr>
            <a:ln w="25400">
              <a:solidFill>
                <a:srgbClr val="000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Graphs'!$P$122:$P$126</c:f>
              <c:numCache>
                <c:formatCode>0</c:formatCode>
                <c:ptCount val="5"/>
              </c:numCache>
            </c:numRef>
          </c:yVal>
        </c:ser>
        <c:ser>
          <c:idx val="10"/>
          <c:order val="6"/>
          <c:spPr>
            <a:ln w="12700">
              <a:solidFill>
                <a:srgbClr val="008000"/>
              </a:solidFill>
              <a:prstDash val="lgDash"/>
            </a:ln>
          </c:spPr>
          <c:marker>
            <c:symbol val="square"/>
            <c:size val="5"/>
            <c:spPr>
              <a:solidFill>
                <a:srgbClr val="CCFFCC"/>
              </a:solidFill>
              <a:ln>
                <a:solidFill>
                  <a:srgbClr val="CCFFCC"/>
                </a:solidFill>
                <a:prstDash val="solid"/>
              </a:ln>
            </c:spPr>
          </c:marker>
          <c:xVal>
            <c:numRef>
              <c:f>'STW Graphs'!$D$122:$D$126</c:f>
              <c:numCache>
                <c:formatCode>General</c:formatCode>
                <c:ptCount val="5"/>
                <c:pt idx="0">
                  <c:v>87.6</c:v>
                </c:pt>
                <c:pt idx="1">
                  <c:v>438</c:v>
                </c:pt>
                <c:pt idx="2">
                  <c:v>876</c:v>
                </c:pt>
                <c:pt idx="3">
                  <c:v>4380</c:v>
                </c:pt>
                <c:pt idx="4">
                  <c:v>13140</c:v>
                </c:pt>
              </c:numCache>
            </c:numRef>
          </c:xVal>
          <c:yVal>
            <c:numRef>
              <c:f>'STW Graphs'!$L$122:$L$126</c:f>
              <c:numCache>
                <c:formatCode>0</c:formatCode>
                <c:ptCount val="5"/>
              </c:numCache>
            </c:numRef>
          </c:yVal>
        </c:ser>
        <c:ser>
          <c:idx val="11"/>
          <c:order val="7"/>
          <c:tx>
            <c:strRef>
              <c:f>'STW Graphs'!$D$94</c:f>
              <c:strCache>
                <c:ptCount val="1"/>
                <c:pt idx="0">
                  <c:v>Anaerobic (digester)</c:v>
                </c:pt>
              </c:strCache>
            </c:strRef>
          </c:tx>
          <c:spPr>
            <a:ln w="25400">
              <a:solidFill>
                <a:srgbClr val="008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Graphs'!$M$122:$M$126</c:f>
              <c:numCache>
                <c:formatCode>0</c:formatCode>
                <c:ptCount val="5"/>
              </c:numCache>
            </c:numRef>
          </c:yVal>
        </c:ser>
        <c:ser>
          <c:idx val="4"/>
          <c:order val="8"/>
          <c:tx>
            <c:strRef>
              <c:f>'STW Graphs'!$Q$109</c:f>
              <c:strCache>
                <c:ptCount val="1"/>
                <c:pt idx="0">
                  <c:v>Anaerobic deep lagoon</c:v>
                </c:pt>
              </c:strCache>
            </c:strRef>
          </c:tx>
          <c:spPr>
            <a:ln w="25400">
              <a:solidFill>
                <a:srgbClr val="800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Graphs'!$Q$122:$Q$126</c:f>
              <c:numCache>
                <c:formatCode>0</c:formatCode>
                <c:ptCount val="5"/>
                <c:pt idx="0">
                  <c:v>149.37282000000002</c:v>
                </c:pt>
                <c:pt idx="1">
                  <c:v>746.86410000000012</c:v>
                </c:pt>
                <c:pt idx="2">
                  <c:v>1493.7282000000002</c:v>
                </c:pt>
                <c:pt idx="3">
                  <c:v>7468.6410000000014</c:v>
                </c:pt>
                <c:pt idx="4">
                  <c:v>22405.923000000003</c:v>
                </c:pt>
              </c:numCache>
            </c:numRef>
          </c:yVal>
        </c:ser>
        <c:ser>
          <c:idx val="2"/>
          <c:order val="9"/>
          <c:tx>
            <c:strRef>
              <c:f>'STW Graphs'!$E$109</c:f>
              <c:strCache>
                <c:ptCount val="1"/>
                <c:pt idx="0">
                  <c:v>Shallow Anaerobic Pond AN</c:v>
                </c:pt>
              </c:strCache>
            </c:strRef>
          </c:tx>
          <c:spPr>
            <a:ln w="25400">
              <a:solidFill>
                <a:srgbClr val="FF66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Graphs'!$E$122:$E$126</c:f>
              <c:numCache>
                <c:formatCode>0</c:formatCode>
                <c:ptCount val="5"/>
                <c:pt idx="0">
                  <c:v>43.132139999999993</c:v>
                </c:pt>
                <c:pt idx="1">
                  <c:v>215.66070000000002</c:v>
                </c:pt>
                <c:pt idx="2">
                  <c:v>431.32140000000004</c:v>
                </c:pt>
                <c:pt idx="3">
                  <c:v>2156.607</c:v>
                </c:pt>
                <c:pt idx="4">
                  <c:v>6469.8209999999999</c:v>
                </c:pt>
              </c:numCache>
            </c:numRef>
          </c:yVal>
        </c:ser>
        <c:ser>
          <c:idx val="6"/>
          <c:order val="10"/>
          <c:tx>
            <c:strRef>
              <c:f>'STW Graphs'!$H$109</c:f>
              <c:strCache>
                <c:ptCount val="1"/>
                <c:pt idx="0">
                  <c:v>Unmanaged aerobic</c:v>
                </c:pt>
              </c:strCache>
            </c:strRef>
          </c:tx>
          <c:spPr>
            <a:ln w="25400">
              <a:solidFill>
                <a:srgbClr val="00808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Graphs'!$H$122:$H$126</c:f>
              <c:numCache>
                <c:formatCode>0</c:formatCode>
                <c:ptCount val="5"/>
                <c:pt idx="0">
                  <c:v>57.118319999999997</c:v>
                </c:pt>
                <c:pt idx="1">
                  <c:v>285.59159999999997</c:v>
                </c:pt>
                <c:pt idx="2">
                  <c:v>571.18319999999994</c:v>
                </c:pt>
                <c:pt idx="3">
                  <c:v>2855.9159999999997</c:v>
                </c:pt>
                <c:pt idx="4">
                  <c:v>8567.7479999999996</c:v>
                </c:pt>
              </c:numCache>
            </c:numRef>
          </c:yVal>
        </c:ser>
        <c:ser>
          <c:idx val="8"/>
          <c:order val="11"/>
          <c:tx>
            <c:strRef>
              <c:f>'STW Graphs'!$K$109</c:f>
              <c:strCache>
                <c:ptCount val="1"/>
                <c:pt idx="0">
                  <c:v>Managed aerobic</c:v>
                </c:pt>
              </c:strCache>
            </c:strRef>
          </c:tx>
          <c:spPr>
            <a:ln w="25400">
              <a:solidFill>
                <a:srgbClr val="FF0000"/>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Graphs'!$K$122:$K$126</c:f>
              <c:numCache>
                <c:formatCode>0</c:formatCode>
                <c:ptCount val="5"/>
                <c:pt idx="0">
                  <c:v>19.624500000000001</c:v>
                </c:pt>
                <c:pt idx="1">
                  <c:v>98.122500000000002</c:v>
                </c:pt>
                <c:pt idx="2">
                  <c:v>196.245</c:v>
                </c:pt>
                <c:pt idx="3">
                  <c:v>981.22500000000002</c:v>
                </c:pt>
                <c:pt idx="4">
                  <c:v>2943.6750000000002</c:v>
                </c:pt>
              </c:numCache>
            </c:numRef>
          </c:yVal>
        </c:ser>
        <c:ser>
          <c:idx val="9"/>
          <c:order val="12"/>
          <c:tx>
            <c:strRef>
              <c:f>'STW Graphs'!$N$109</c:f>
              <c:strCache>
                <c:ptCount val="1"/>
                <c:pt idx="0">
                  <c:v>Anaerobic Pond AN</c:v>
                </c:pt>
              </c:strCache>
            </c:strRef>
          </c:tx>
          <c:spPr>
            <a:ln w="25400">
              <a:solidFill>
                <a:srgbClr val="0000FF"/>
              </a:solidFill>
              <a:prstDash val="solid"/>
            </a:ln>
          </c:spPr>
          <c:marker>
            <c:symbol val="none"/>
          </c:marker>
          <c:xVal>
            <c:numRef>
              <c:f>'STW Graphs'!$D$122:$D$126</c:f>
              <c:numCache>
                <c:formatCode>General</c:formatCode>
                <c:ptCount val="5"/>
                <c:pt idx="0">
                  <c:v>87.6</c:v>
                </c:pt>
                <c:pt idx="1">
                  <c:v>438</c:v>
                </c:pt>
                <c:pt idx="2">
                  <c:v>876</c:v>
                </c:pt>
                <c:pt idx="3">
                  <c:v>4380</c:v>
                </c:pt>
                <c:pt idx="4">
                  <c:v>13140</c:v>
                </c:pt>
              </c:numCache>
            </c:numRef>
          </c:xVal>
          <c:yVal>
            <c:numRef>
              <c:f>'STW Graphs'!$N$122:$N$126</c:f>
              <c:numCache>
                <c:formatCode>0</c:formatCode>
                <c:ptCount val="5"/>
                <c:pt idx="0">
                  <c:v>149.37282000000002</c:v>
                </c:pt>
                <c:pt idx="1">
                  <c:v>746.86410000000012</c:v>
                </c:pt>
                <c:pt idx="2">
                  <c:v>1493.7282000000002</c:v>
                </c:pt>
                <c:pt idx="3">
                  <c:v>7468.6410000000014</c:v>
                </c:pt>
                <c:pt idx="4">
                  <c:v>22405.923000000003</c:v>
                </c:pt>
              </c:numCache>
            </c:numRef>
          </c:yVal>
        </c:ser>
        <c:axId val="62499840"/>
        <c:axId val="62510208"/>
      </c:scatterChart>
      <c:valAx>
        <c:axId val="62499840"/>
        <c:scaling>
          <c:orientation val="minMax"/>
          <c:max val="4000"/>
        </c:scaling>
        <c:axPos val="b"/>
        <c:title>
          <c:tx>
            <c:rich>
              <a:bodyPr/>
              <a:lstStyle/>
              <a:p>
                <a:pPr>
                  <a:defRPr sz="1200" b="1" i="0" u="none" strike="noStrike" baseline="0">
                    <a:solidFill>
                      <a:srgbClr val="000000"/>
                    </a:solidFill>
                    <a:latin typeface="Arial"/>
                    <a:ea typeface="Arial"/>
                    <a:cs typeface="Arial"/>
                  </a:defRPr>
                </a:pPr>
                <a:r>
                  <a:t>Volume Treated (ML)</a:t>
                </a:r>
              </a:p>
            </c:rich>
          </c:tx>
          <c:layout>
            <c:manualLayout>
              <c:xMode val="edge"/>
              <c:yMode val="edge"/>
              <c:x val="0.44885799404170806"/>
              <c:y val="0.9457073945067894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510208"/>
        <c:crosses val="autoZero"/>
        <c:crossBetween val="midCat"/>
        <c:majorUnit val="200"/>
        <c:minorUnit val="100"/>
      </c:valAx>
      <c:valAx>
        <c:axId val="62510208"/>
        <c:scaling>
          <c:orientation val="minMax"/>
          <c:max val="2000"/>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Emissions (Tonnes CO2 equivalent)</a:t>
                </a:r>
              </a:p>
            </c:rich>
          </c:tx>
          <c:layout>
            <c:manualLayout>
              <c:xMode val="edge"/>
              <c:yMode val="edge"/>
              <c:x val="4.9652432969215492E-3"/>
              <c:y val="0.30581750542926056"/>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499840"/>
        <c:crosses val="autoZero"/>
        <c:crossBetween val="midCat"/>
        <c:majorUnit val="200"/>
      </c:valAx>
      <c:spPr>
        <a:solidFill>
          <a:srgbClr val="FFFFFF"/>
        </a:solidFill>
        <a:ln w="3175">
          <a:solidFill>
            <a:srgbClr val="808080"/>
          </a:solidFill>
          <a:prstDash val="solid"/>
        </a:ln>
      </c:spPr>
    </c:plotArea>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257175</xdr:colOff>
      <xdr:row>9</xdr:row>
      <xdr:rowOff>180975</xdr:rowOff>
    </xdr:from>
    <xdr:to>
      <xdr:col>14</xdr:col>
      <xdr:colOff>285750</xdr:colOff>
      <xdr:row>44</xdr:row>
      <xdr:rowOff>76200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47</xdr:row>
      <xdr:rowOff>104775</xdr:rowOff>
    </xdr:from>
    <xdr:to>
      <xdr:col>14</xdr:col>
      <xdr:colOff>266700</xdr:colOff>
      <xdr:row>82</xdr:row>
      <xdr:rowOff>28575</xdr:rowOff>
    </xdr:to>
    <xdr:graphicFrame macro="">
      <xdr:nvGraphicFramePr>
        <xdr:cNvPr id="20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16</xdr:row>
      <xdr:rowOff>28575</xdr:rowOff>
    </xdr:from>
    <xdr:to>
      <xdr:col>3</xdr:col>
      <xdr:colOff>200025</xdr:colOff>
      <xdr:row>19</xdr:row>
      <xdr:rowOff>152400</xdr:rowOff>
    </xdr:to>
    <xdr:sp macro="" textlink="">
      <xdr:nvSpPr>
        <xdr:cNvPr id="2058" name="AutoShape 10"/>
        <xdr:cNvSpPr>
          <a:spLocks/>
        </xdr:cNvSpPr>
      </xdr:nvSpPr>
      <xdr:spPr bwMode="auto">
        <a:xfrm>
          <a:off x="1419225" y="3314700"/>
          <a:ext cx="1133475" cy="609600"/>
        </a:xfrm>
        <a:prstGeom prst="borderCallout2">
          <a:avLst>
            <a:gd name="adj1" fmla="val 18750"/>
            <a:gd name="adj2" fmla="val 106722"/>
            <a:gd name="adj3" fmla="val 18750"/>
            <a:gd name="adj4" fmla="val 132773"/>
            <a:gd name="adj5" fmla="val 40625"/>
            <a:gd name="adj6" fmla="val 159662"/>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digester, Anaerobic deep Pond &gt;2m deep</a:t>
          </a:r>
        </a:p>
      </xdr:txBody>
    </xdr:sp>
    <xdr:clientData/>
  </xdr:twoCellAnchor>
  <xdr:twoCellAnchor>
    <xdr:from>
      <xdr:col>4</xdr:col>
      <xdr:colOff>638175</xdr:colOff>
      <xdr:row>17</xdr:row>
      <xdr:rowOff>9525</xdr:rowOff>
    </xdr:from>
    <xdr:to>
      <xdr:col>7</xdr:col>
      <xdr:colOff>76200</xdr:colOff>
      <xdr:row>19</xdr:row>
      <xdr:rowOff>9525</xdr:rowOff>
    </xdr:to>
    <xdr:sp macro="" textlink="">
      <xdr:nvSpPr>
        <xdr:cNvPr id="2060" name="AutoShape 12"/>
        <xdr:cNvSpPr>
          <a:spLocks/>
        </xdr:cNvSpPr>
      </xdr:nvSpPr>
      <xdr:spPr bwMode="auto">
        <a:xfrm>
          <a:off x="3943350" y="3457575"/>
          <a:ext cx="1657350" cy="323850"/>
        </a:xfrm>
        <a:prstGeom prst="borderCallout2">
          <a:avLst>
            <a:gd name="adj1" fmla="val 35296"/>
            <a:gd name="adj2" fmla="val 104597"/>
            <a:gd name="adj3" fmla="val 35296"/>
            <a:gd name="adj4" fmla="val 135056"/>
            <a:gd name="adj5" fmla="val 123528"/>
            <a:gd name="adj6" fmla="val 155745"/>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Unmanaged aerobic treatment</a:t>
          </a:r>
        </a:p>
      </xdr:txBody>
    </xdr:sp>
    <xdr:clientData/>
  </xdr:twoCellAnchor>
  <xdr:twoCellAnchor>
    <xdr:from>
      <xdr:col>10</xdr:col>
      <xdr:colOff>161925</xdr:colOff>
      <xdr:row>24</xdr:row>
      <xdr:rowOff>38100</xdr:rowOff>
    </xdr:from>
    <xdr:to>
      <xdr:col>13</xdr:col>
      <xdr:colOff>171450</xdr:colOff>
      <xdr:row>27</xdr:row>
      <xdr:rowOff>76200</xdr:rowOff>
    </xdr:to>
    <xdr:sp macro="" textlink="">
      <xdr:nvSpPr>
        <xdr:cNvPr id="2061" name="AutoShape 13"/>
        <xdr:cNvSpPr>
          <a:spLocks/>
        </xdr:cNvSpPr>
      </xdr:nvSpPr>
      <xdr:spPr bwMode="auto">
        <a:xfrm>
          <a:off x="7753350" y="4619625"/>
          <a:ext cx="1628775" cy="523875"/>
        </a:xfrm>
        <a:prstGeom prst="borderCallout2">
          <a:avLst>
            <a:gd name="adj1" fmla="val 21819"/>
            <a:gd name="adj2" fmla="val -4681"/>
            <a:gd name="adj3" fmla="val 21819"/>
            <a:gd name="adj4" fmla="val -26315"/>
            <a:gd name="adj5" fmla="val -25454"/>
            <a:gd name="adj6" fmla="val -44444"/>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Shallow lagoon or Oxidation Pond &lt;2m deep</a:t>
          </a:r>
        </a:p>
      </xdr:txBody>
    </xdr:sp>
    <xdr:clientData/>
  </xdr:twoCellAnchor>
  <xdr:twoCellAnchor>
    <xdr:from>
      <xdr:col>10</xdr:col>
      <xdr:colOff>219075</xdr:colOff>
      <xdr:row>73</xdr:row>
      <xdr:rowOff>28575</xdr:rowOff>
    </xdr:from>
    <xdr:to>
      <xdr:col>13</xdr:col>
      <xdr:colOff>400050</xdr:colOff>
      <xdr:row>78</xdr:row>
      <xdr:rowOff>95250</xdr:rowOff>
    </xdr:to>
    <xdr:sp macro="" textlink="">
      <xdr:nvSpPr>
        <xdr:cNvPr id="2062" name="AutoShape 14"/>
        <xdr:cNvSpPr>
          <a:spLocks/>
        </xdr:cNvSpPr>
      </xdr:nvSpPr>
      <xdr:spPr bwMode="auto">
        <a:xfrm>
          <a:off x="7810500" y="12668250"/>
          <a:ext cx="1800225" cy="876300"/>
        </a:xfrm>
        <a:prstGeom prst="borderCallout2">
          <a:avLst>
            <a:gd name="adj1" fmla="val 13042"/>
            <a:gd name="adj2" fmla="val -4231"/>
            <a:gd name="adj3" fmla="val 13042"/>
            <a:gd name="adj4" fmla="val -23282"/>
            <a:gd name="adj5" fmla="val -28259"/>
            <a:gd name="adj6" fmla="val -39681"/>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Managed Aerobic treatment, </a:t>
          </a:r>
        </a:p>
        <a:p>
          <a:pPr algn="l" rtl="0">
            <a:defRPr sz="1000"/>
          </a:pPr>
          <a:r>
            <a:rPr lang="en-AU" sz="900" b="0" i="0" u="none" strike="noStrike" baseline="0">
              <a:solidFill>
                <a:srgbClr val="000000"/>
              </a:solidFill>
              <a:latin typeface="Arial Narrow"/>
            </a:rPr>
            <a:t>Conventional activated sludge, </a:t>
          </a:r>
        </a:p>
        <a:p>
          <a:pPr algn="l" rtl="0">
            <a:defRPr sz="1000"/>
          </a:pPr>
          <a:r>
            <a:rPr lang="en-AU" sz="900" b="0" i="0" u="none" strike="noStrike" baseline="0">
              <a:solidFill>
                <a:srgbClr val="000000"/>
              </a:solidFill>
              <a:latin typeface="Arial Narrow"/>
            </a:rPr>
            <a:t>Continuous extended aeration,</a:t>
          </a:r>
        </a:p>
        <a:p>
          <a:pPr algn="l" rtl="0">
            <a:defRPr sz="1000"/>
          </a:pPr>
          <a:r>
            <a:rPr lang="en-AU" sz="900" b="0" i="0" u="none" strike="noStrike" baseline="0">
              <a:solidFill>
                <a:srgbClr val="000000"/>
              </a:solidFill>
              <a:latin typeface="Arial Narrow"/>
            </a:rPr>
            <a:t>Intermittant extended aeration, Trickling Filters</a:t>
          </a:r>
        </a:p>
      </xdr:txBody>
    </xdr:sp>
    <xdr:clientData/>
  </xdr:twoCellAnchor>
  <xdr:twoCellAnchor>
    <xdr:from>
      <xdr:col>10</xdr:col>
      <xdr:colOff>180975</xdr:colOff>
      <xdr:row>63</xdr:row>
      <xdr:rowOff>152400</xdr:rowOff>
    </xdr:from>
    <xdr:to>
      <xdr:col>13</xdr:col>
      <xdr:colOff>190500</xdr:colOff>
      <xdr:row>67</xdr:row>
      <xdr:rowOff>28575</xdr:rowOff>
    </xdr:to>
    <xdr:sp macro="" textlink="">
      <xdr:nvSpPr>
        <xdr:cNvPr id="2063" name="AutoShape 15"/>
        <xdr:cNvSpPr>
          <a:spLocks/>
        </xdr:cNvSpPr>
      </xdr:nvSpPr>
      <xdr:spPr bwMode="auto">
        <a:xfrm>
          <a:off x="7772400" y="11172825"/>
          <a:ext cx="1628775" cy="523875"/>
        </a:xfrm>
        <a:prstGeom prst="borderCallout2">
          <a:avLst>
            <a:gd name="adj1" fmla="val 21819"/>
            <a:gd name="adj2" fmla="val -4681"/>
            <a:gd name="adj3" fmla="val 21819"/>
            <a:gd name="adj4" fmla="val -26315"/>
            <a:gd name="adj5" fmla="val -47273"/>
            <a:gd name="adj6" fmla="val -45028"/>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Shallow lagoon or Oxidation Pond &lt;2m deep</a:t>
          </a:r>
        </a:p>
      </xdr:txBody>
    </xdr:sp>
    <xdr:clientData/>
  </xdr:twoCellAnchor>
  <xdr:twoCellAnchor>
    <xdr:from>
      <xdr:col>4</xdr:col>
      <xdr:colOff>809625</xdr:colOff>
      <xdr:row>55</xdr:row>
      <xdr:rowOff>142875</xdr:rowOff>
    </xdr:from>
    <xdr:to>
      <xdr:col>7</xdr:col>
      <xdr:colOff>247650</xdr:colOff>
      <xdr:row>57</xdr:row>
      <xdr:rowOff>142875</xdr:rowOff>
    </xdr:to>
    <xdr:sp macro="" textlink="">
      <xdr:nvSpPr>
        <xdr:cNvPr id="2064" name="AutoShape 16"/>
        <xdr:cNvSpPr>
          <a:spLocks/>
        </xdr:cNvSpPr>
      </xdr:nvSpPr>
      <xdr:spPr bwMode="auto">
        <a:xfrm>
          <a:off x="4114800" y="9867900"/>
          <a:ext cx="1657350" cy="323850"/>
        </a:xfrm>
        <a:prstGeom prst="borderCallout2">
          <a:avLst>
            <a:gd name="adj1" fmla="val 35296"/>
            <a:gd name="adj2" fmla="val 104597"/>
            <a:gd name="adj3" fmla="val 35296"/>
            <a:gd name="adj4" fmla="val 124139"/>
            <a:gd name="adj5" fmla="val 138236"/>
            <a:gd name="adj6" fmla="val 140231"/>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Unmanaged aerobic treatment</a:t>
          </a:r>
        </a:p>
      </xdr:txBody>
    </xdr:sp>
    <xdr:clientData/>
  </xdr:twoCellAnchor>
  <xdr:twoCellAnchor>
    <xdr:from>
      <xdr:col>1</xdr:col>
      <xdr:colOff>371475</xdr:colOff>
      <xdr:row>54</xdr:row>
      <xdr:rowOff>142875</xdr:rowOff>
    </xdr:from>
    <xdr:to>
      <xdr:col>3</xdr:col>
      <xdr:colOff>238125</xdr:colOff>
      <xdr:row>58</xdr:row>
      <xdr:rowOff>104775</xdr:rowOff>
    </xdr:to>
    <xdr:sp macro="" textlink="">
      <xdr:nvSpPr>
        <xdr:cNvPr id="2065" name="AutoShape 17"/>
        <xdr:cNvSpPr>
          <a:spLocks/>
        </xdr:cNvSpPr>
      </xdr:nvSpPr>
      <xdr:spPr bwMode="auto">
        <a:xfrm>
          <a:off x="1457325" y="9705975"/>
          <a:ext cx="1133475" cy="609600"/>
        </a:xfrm>
        <a:prstGeom prst="borderCallout2">
          <a:avLst>
            <a:gd name="adj1" fmla="val 18750"/>
            <a:gd name="adj2" fmla="val 106722"/>
            <a:gd name="adj3" fmla="val 18750"/>
            <a:gd name="adj4" fmla="val 131931"/>
            <a:gd name="adj5" fmla="val 67190"/>
            <a:gd name="adj6" fmla="val 159662"/>
          </a:avLst>
        </a:prstGeom>
        <a:solidFill>
          <a:srgbClr val="FFFFFF"/>
        </a:solidFill>
        <a:ln w="9525" algn="ctr">
          <a:solidFill>
            <a:srgbClr val="000000"/>
          </a:solidFill>
          <a:miter lim="800000"/>
          <a:headEnd/>
          <a:tailEnd/>
        </a:ln>
        <a:effectLst/>
      </xdr:spPr>
      <xdr:txBody>
        <a:bodyPr vertOverflow="clip" wrap="square" lIns="27432" tIns="27432" rIns="0" bIns="0" anchor="t" upright="1"/>
        <a:lstStyle/>
        <a:p>
          <a:pPr algn="l" rtl="0">
            <a:defRPr sz="1000"/>
          </a:pPr>
          <a:r>
            <a:rPr lang="en-AU" sz="900" b="0" i="0" u="none" strike="noStrike" baseline="0">
              <a:solidFill>
                <a:srgbClr val="000000"/>
              </a:solidFill>
              <a:latin typeface="Arial Narrow"/>
            </a:rPr>
            <a:t>Anaerobic digester, Anaerobic deep Pond &gt;2m deep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0.777</cdr:x>
      <cdr:y>0.69349</cdr:y>
    </cdr:from>
    <cdr:to>
      <cdr:x>0.96266</cdr:x>
      <cdr:y>0.84641</cdr:y>
    </cdr:to>
    <cdr:sp macro="" textlink="">
      <cdr:nvSpPr>
        <cdr:cNvPr id="3080" name="AutoShape 8"/>
        <cdr:cNvSpPr>
          <a:spLocks xmlns:a="http://schemas.openxmlformats.org/drawingml/2006/main"/>
        </cdr:cNvSpPr>
      </cdr:nvSpPr>
      <cdr:spPr bwMode="auto">
        <a:xfrm xmlns:a="http://schemas.openxmlformats.org/drawingml/2006/main">
          <a:off x="7544763" y="3986270"/>
          <a:ext cx="1802011" cy="878315"/>
        </a:xfrm>
        <a:prstGeom xmlns:a="http://schemas.openxmlformats.org/drawingml/2006/main" prst="borderCallout2">
          <a:avLst>
            <a:gd name="adj1" fmla="val 12995"/>
            <a:gd name="adj2" fmla="val -4231"/>
            <a:gd name="adj3" fmla="val 12995"/>
            <a:gd name="adj4" fmla="val -24894"/>
            <a:gd name="adj5" fmla="val -23190"/>
            <a:gd name="adj6" fmla="val -42255"/>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n-AU" sz="900" b="0" i="0" u="none" strike="noStrike" baseline="0">
              <a:solidFill>
                <a:srgbClr val="000000"/>
              </a:solidFill>
              <a:latin typeface="Arial Narrow"/>
            </a:rPr>
            <a:t>Managed Aerobic treatment, </a:t>
          </a:r>
        </a:p>
        <a:p xmlns:a="http://schemas.openxmlformats.org/drawingml/2006/main">
          <a:pPr algn="l" rtl="0">
            <a:defRPr sz="1000"/>
          </a:pPr>
          <a:r>
            <a:rPr lang="en-AU" sz="900" b="0" i="0" u="none" strike="noStrike" baseline="0">
              <a:solidFill>
                <a:srgbClr val="000000"/>
              </a:solidFill>
              <a:latin typeface="Arial Narrow"/>
            </a:rPr>
            <a:t>Conventional activated sludge, </a:t>
          </a:r>
        </a:p>
        <a:p xmlns:a="http://schemas.openxmlformats.org/drawingml/2006/main">
          <a:pPr algn="l" rtl="0">
            <a:defRPr sz="1000"/>
          </a:pPr>
          <a:r>
            <a:rPr lang="en-AU" sz="900" b="0" i="0" u="none" strike="noStrike" baseline="0">
              <a:solidFill>
                <a:srgbClr val="000000"/>
              </a:solidFill>
              <a:latin typeface="Arial Narrow"/>
            </a:rPr>
            <a:t>Continuous extended aeration,</a:t>
          </a:r>
        </a:p>
        <a:p xmlns:a="http://schemas.openxmlformats.org/drawingml/2006/main">
          <a:pPr algn="l" rtl="0">
            <a:defRPr sz="1000"/>
          </a:pPr>
          <a:r>
            <a:rPr lang="en-AU" sz="900" b="0" i="0" u="none" strike="noStrike" baseline="0">
              <a:solidFill>
                <a:srgbClr val="000000"/>
              </a:solidFill>
              <a:latin typeface="Arial Narrow"/>
            </a:rPr>
            <a:t>Intermittant extended aeration, Trickling Filters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4"/>
    <pageSetUpPr fitToPage="1"/>
  </sheetPr>
  <dimension ref="A1:Q25"/>
  <sheetViews>
    <sheetView tabSelected="1" view="pageBreakPreview" zoomScaleNormal="100" workbookViewId="0">
      <selection activeCell="B13" sqref="B13:L13"/>
    </sheetView>
  </sheetViews>
  <sheetFormatPr defaultRowHeight="12.75"/>
  <cols>
    <col min="1" max="1" width="3" style="47" customWidth="1"/>
    <col min="2" max="2" width="11" style="47" customWidth="1"/>
    <col min="3" max="3" width="32.285156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1" width="9.140625" style="3"/>
    <col min="12" max="12" width="5" style="3" customWidth="1"/>
    <col min="13" max="13" width="4.5703125" style="3" customWidth="1"/>
    <col min="14" max="14" width="6" style="3" customWidth="1"/>
    <col min="15" max="15" width="5.42578125" style="3" customWidth="1"/>
    <col min="16" max="16" width="5.28515625" style="3" customWidth="1"/>
    <col min="17" max="17" width="5" style="3" customWidth="1"/>
    <col min="18" max="16384" width="9.140625" style="3"/>
  </cols>
  <sheetData>
    <row r="1" spans="1:12" ht="15.75" customHeight="1">
      <c r="A1" s="183" t="s">
        <v>442</v>
      </c>
    </row>
    <row r="2" spans="1:12" ht="20.25" customHeight="1">
      <c r="A2" s="41"/>
      <c r="B2" s="41"/>
      <c r="C2" s="41"/>
    </row>
    <row r="3" spans="1:12" ht="18">
      <c r="A3" s="27" t="s">
        <v>302</v>
      </c>
      <c r="B3" s="41"/>
      <c r="C3" s="41"/>
    </row>
    <row r="5" spans="1:12" ht="48.75" customHeight="1">
      <c r="B5" s="414" t="s">
        <v>74</v>
      </c>
      <c r="C5" s="414"/>
      <c r="D5" s="414"/>
      <c r="E5" s="414"/>
      <c r="F5" s="414"/>
      <c r="G5" s="414"/>
      <c r="H5" s="414"/>
      <c r="I5" s="414"/>
      <c r="J5" s="414"/>
      <c r="K5" s="414"/>
      <c r="L5" s="414"/>
    </row>
    <row r="6" spans="1:12" ht="31.5" customHeight="1">
      <c r="B6" s="414" t="s">
        <v>443</v>
      </c>
      <c r="C6" s="414"/>
      <c r="D6" s="414"/>
      <c r="E6" s="414"/>
      <c r="F6" s="414"/>
      <c r="G6" s="414"/>
      <c r="H6" s="414"/>
      <c r="I6" s="414"/>
      <c r="J6" s="414"/>
      <c r="K6" s="414"/>
      <c r="L6" s="414"/>
    </row>
    <row r="7" spans="1:12" ht="15.75">
      <c r="B7" s="259"/>
      <c r="C7" s="41"/>
      <c r="D7" s="259"/>
      <c r="E7" s="259"/>
      <c r="F7" s="259"/>
      <c r="G7" s="259"/>
      <c r="H7" s="259"/>
      <c r="I7" s="259"/>
      <c r="J7" s="259"/>
      <c r="K7" s="259"/>
      <c r="L7" s="259"/>
    </row>
    <row r="8" spans="1:12" ht="66" customHeight="1">
      <c r="B8" s="414" t="s">
        <v>14</v>
      </c>
      <c r="C8" s="414"/>
      <c r="D8" s="414"/>
      <c r="E8" s="414"/>
      <c r="F8" s="414"/>
      <c r="G8" s="414"/>
      <c r="H8" s="414"/>
      <c r="I8" s="414"/>
      <c r="J8" s="414"/>
      <c r="K8" s="414"/>
      <c r="L8" s="414"/>
    </row>
    <row r="9" spans="1:12" ht="24.75" customHeight="1">
      <c r="B9" s="415" t="s">
        <v>0</v>
      </c>
      <c r="C9" s="415"/>
      <c r="D9" s="415"/>
      <c r="E9" s="415"/>
      <c r="F9" s="415"/>
      <c r="G9" s="415"/>
      <c r="H9" s="415"/>
      <c r="I9" s="415"/>
      <c r="J9" s="415"/>
      <c r="K9" s="415"/>
      <c r="L9" s="415"/>
    </row>
    <row r="10" spans="1:12" ht="48.75" customHeight="1">
      <c r="B10" s="414" t="s">
        <v>72</v>
      </c>
      <c r="C10" s="414"/>
      <c r="D10" s="414"/>
      <c r="E10" s="414"/>
      <c r="F10" s="414"/>
      <c r="G10" s="414"/>
      <c r="H10" s="414"/>
      <c r="I10" s="414"/>
      <c r="J10" s="414"/>
      <c r="K10" s="414"/>
      <c r="L10" s="414"/>
    </row>
    <row r="11" spans="1:12" ht="15.75">
      <c r="B11" s="259"/>
      <c r="C11" s="41"/>
      <c r="D11" s="259"/>
      <c r="E11" s="259"/>
      <c r="F11" s="259"/>
      <c r="G11" s="259"/>
      <c r="H11" s="259"/>
      <c r="I11" s="259"/>
      <c r="J11" s="259"/>
      <c r="K11" s="259"/>
      <c r="L11" s="259"/>
    </row>
    <row r="12" spans="1:12" ht="48.75" customHeight="1">
      <c r="B12" s="414" t="s">
        <v>445</v>
      </c>
      <c r="C12" s="414"/>
      <c r="D12" s="414"/>
      <c r="E12" s="414"/>
      <c r="F12" s="414"/>
      <c r="G12" s="414"/>
      <c r="H12" s="414"/>
      <c r="I12" s="414"/>
      <c r="J12" s="414"/>
      <c r="K12" s="414"/>
      <c r="L12" s="414"/>
    </row>
    <row r="13" spans="1:12" ht="31.5" customHeight="1">
      <c r="B13" s="414" t="s">
        <v>444</v>
      </c>
      <c r="C13" s="414"/>
      <c r="D13" s="414"/>
      <c r="E13" s="414"/>
      <c r="F13" s="414"/>
      <c r="G13" s="414"/>
      <c r="H13" s="414"/>
      <c r="I13" s="414"/>
      <c r="J13" s="414"/>
      <c r="K13" s="414"/>
      <c r="L13" s="414"/>
    </row>
    <row r="14" spans="1:12" ht="15.75">
      <c r="B14" s="259" t="s">
        <v>66</v>
      </c>
      <c r="C14" s="41"/>
      <c r="D14" s="259"/>
      <c r="E14" s="259"/>
      <c r="F14" s="259"/>
      <c r="G14" s="259"/>
      <c r="H14" s="259"/>
      <c r="I14" s="259"/>
      <c r="J14" s="259"/>
      <c r="K14" s="259"/>
      <c r="L14" s="259"/>
    </row>
    <row r="15" spans="1:12" ht="15.75">
      <c r="B15" s="414" t="s">
        <v>446</v>
      </c>
      <c r="C15" s="414"/>
      <c r="D15" s="414"/>
      <c r="E15" s="414"/>
      <c r="F15" s="414"/>
      <c r="G15" s="414"/>
      <c r="H15" s="414"/>
      <c r="I15" s="414"/>
      <c r="J15" s="414"/>
      <c r="K15" s="414"/>
      <c r="L15" s="414"/>
    </row>
    <row r="16" spans="1:12" ht="15.75">
      <c r="B16" s="259"/>
      <c r="C16" s="41"/>
      <c r="D16" s="259"/>
      <c r="E16" s="259"/>
      <c r="F16" s="259"/>
      <c r="G16" s="259"/>
      <c r="H16" s="259"/>
      <c r="I16" s="259"/>
      <c r="J16" s="259"/>
      <c r="K16" s="259"/>
      <c r="L16" s="259"/>
    </row>
    <row r="17" spans="1:17" ht="30.75" customHeight="1">
      <c r="B17" s="414" t="s">
        <v>311</v>
      </c>
      <c r="C17" s="414"/>
      <c r="D17" s="414"/>
      <c r="E17" s="414"/>
      <c r="F17" s="414"/>
      <c r="G17" s="414"/>
      <c r="H17" s="414"/>
      <c r="I17" s="414"/>
      <c r="J17" s="414"/>
      <c r="K17" s="414"/>
      <c r="L17" s="414"/>
    </row>
    <row r="18" spans="1:17" ht="15.75">
      <c r="B18" s="259"/>
      <c r="C18" s="41"/>
      <c r="D18" s="259"/>
      <c r="E18" s="259"/>
      <c r="F18" s="259"/>
      <c r="G18" s="259"/>
      <c r="H18" s="259"/>
      <c r="I18" s="259"/>
      <c r="J18" s="259"/>
      <c r="K18" s="259"/>
      <c r="L18" s="259"/>
    </row>
    <row r="19" spans="1:17" ht="15.75">
      <c r="A19" s="61"/>
      <c r="B19" s="265" t="s">
        <v>219</v>
      </c>
      <c r="C19" s="266" t="s">
        <v>71</v>
      </c>
      <c r="D19" s="267"/>
      <c r="E19" s="267"/>
      <c r="F19" s="267"/>
      <c r="G19" s="267"/>
      <c r="H19" s="267"/>
      <c r="I19" s="267"/>
      <c r="J19" s="267"/>
      <c r="K19" s="267"/>
      <c r="L19" s="267"/>
      <c r="M19" s="43"/>
      <c r="N19" s="43"/>
      <c r="O19" s="43"/>
      <c r="P19" s="43"/>
      <c r="Q19" s="44"/>
    </row>
    <row r="20" spans="1:17" ht="15.75">
      <c r="A20" s="60"/>
      <c r="B20" s="265" t="s">
        <v>67</v>
      </c>
      <c r="C20" s="113" t="s">
        <v>110</v>
      </c>
      <c r="D20" s="60"/>
      <c r="E20" s="60"/>
      <c r="F20" s="60"/>
      <c r="G20" s="60"/>
      <c r="H20" s="60"/>
      <c r="I20" s="60"/>
      <c r="J20" s="60"/>
      <c r="K20" s="60"/>
      <c r="L20" s="60"/>
      <c r="M20" s="46"/>
      <c r="N20" s="46"/>
      <c r="O20" s="46"/>
      <c r="P20" s="46"/>
      <c r="Q20" s="44"/>
    </row>
    <row r="21" spans="1:17" ht="15.75" customHeight="1">
      <c r="A21" s="45"/>
      <c r="B21" s="268" t="s">
        <v>220</v>
      </c>
      <c r="C21" s="113" t="s">
        <v>69</v>
      </c>
      <c r="D21" s="60"/>
      <c r="E21" s="60"/>
      <c r="F21" s="60"/>
      <c r="G21" s="60"/>
      <c r="H21" s="60"/>
      <c r="I21" s="60"/>
      <c r="J21" s="60"/>
      <c r="K21" s="60"/>
      <c r="L21" s="60"/>
      <c r="M21" s="46"/>
      <c r="N21" s="46"/>
      <c r="O21" s="46"/>
      <c r="P21" s="46"/>
      <c r="Q21" s="44"/>
    </row>
    <row r="22" spans="1:17" ht="15.75" customHeight="1">
      <c r="A22" s="45"/>
      <c r="B22" s="268" t="s">
        <v>68</v>
      </c>
      <c r="C22" s="113" t="s">
        <v>70</v>
      </c>
      <c r="D22" s="60"/>
      <c r="E22" s="60"/>
      <c r="F22" s="60"/>
      <c r="G22" s="60"/>
      <c r="H22" s="60"/>
      <c r="I22" s="60"/>
      <c r="J22" s="60"/>
      <c r="K22" s="60"/>
      <c r="L22" s="60"/>
      <c r="M22" s="46"/>
      <c r="N22" s="46"/>
      <c r="O22" s="46"/>
      <c r="P22" s="46"/>
      <c r="Q22" s="44"/>
    </row>
    <row r="23" spans="1:17" ht="12.75" customHeight="1">
      <c r="A23" s="45"/>
      <c r="B23" s="268"/>
      <c r="C23" s="113"/>
      <c r="D23" s="60"/>
      <c r="E23" s="60"/>
      <c r="F23" s="60"/>
      <c r="G23" s="60"/>
      <c r="H23" s="60"/>
      <c r="I23" s="60"/>
      <c r="J23" s="60"/>
      <c r="K23" s="60"/>
      <c r="L23" s="60"/>
      <c r="M23" s="46"/>
      <c r="N23" s="46"/>
      <c r="O23" s="46"/>
      <c r="P23" s="46"/>
      <c r="Q23" s="44"/>
    </row>
    <row r="24" spans="1:17" ht="15.75" customHeight="1">
      <c r="A24" s="45"/>
      <c r="B24" s="113" t="s">
        <v>73</v>
      </c>
      <c r="C24" s="113"/>
      <c r="D24" s="60"/>
      <c r="E24" s="60"/>
      <c r="F24" s="60"/>
      <c r="G24" s="60"/>
      <c r="H24" s="60"/>
      <c r="I24" s="60"/>
      <c r="J24" s="60"/>
      <c r="K24" s="60"/>
      <c r="L24" s="60"/>
      <c r="M24" s="46"/>
      <c r="N24" s="46"/>
      <c r="O24" s="46"/>
      <c r="P24" s="46"/>
      <c r="Q24" s="44"/>
    </row>
    <row r="25" spans="1:17" ht="12.75" customHeight="1">
      <c r="A25" s="45"/>
      <c r="B25" s="113"/>
      <c r="C25" s="60"/>
      <c r="D25" s="60"/>
      <c r="E25" s="60"/>
      <c r="F25" s="60"/>
      <c r="G25" s="60"/>
      <c r="H25" s="60"/>
      <c r="I25" s="60"/>
      <c r="J25" s="60"/>
      <c r="K25" s="60"/>
      <c r="L25" s="60"/>
      <c r="M25" s="46"/>
      <c r="N25" s="46"/>
      <c r="O25" s="46"/>
      <c r="P25" s="46"/>
      <c r="Q25" s="44"/>
    </row>
  </sheetData>
  <sheetProtection password="D286" sheet="1" objects="1" scenarios="1"/>
  <mergeCells count="9">
    <mergeCell ref="B5:L5"/>
    <mergeCell ref="B6:L6"/>
    <mergeCell ref="B8:L8"/>
    <mergeCell ref="B17:L17"/>
    <mergeCell ref="B10:L10"/>
    <mergeCell ref="B12:L12"/>
    <mergeCell ref="B13:L13"/>
    <mergeCell ref="B15:L15"/>
    <mergeCell ref="B9:L9"/>
  </mergeCells>
  <phoneticPr fontId="2" type="noConversion"/>
  <pageMargins left="0.39370078740157483" right="0.16" top="0.62992125984251968" bottom="0.98425196850393704" header="0.51181102362204722" footer="0.51181102362204722"/>
  <pageSetup paperSize="9" scale="90" fitToHeight="0" orientation="portrait" r:id="rId1"/>
  <headerFooter alignWithMargins="0">
    <oddFooter>&amp;COverview</oddFooter>
  </headerFooter>
</worksheet>
</file>

<file path=xl/worksheets/sheet10.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96</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1.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97</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2.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98</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3.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99</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4.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100</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5.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101</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6.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102</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7.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103</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18.xml><?xml version="1.0" encoding="utf-8"?>
<worksheet xmlns="http://schemas.openxmlformats.org/spreadsheetml/2006/main" xmlns:r="http://schemas.openxmlformats.org/officeDocument/2006/relationships">
  <sheetPr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104</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2.xml><?xml version="1.0" encoding="utf-8"?>
<worksheet xmlns="http://schemas.openxmlformats.org/spreadsheetml/2006/main" xmlns:r="http://schemas.openxmlformats.org/officeDocument/2006/relationships">
  <sheetPr codeName="Sheet2" enableFormatConditionsCalculation="0">
    <tabColor indexed="14"/>
    <pageSetUpPr fitToPage="1"/>
  </sheetPr>
  <dimension ref="A1:Q35"/>
  <sheetViews>
    <sheetView view="pageBreakPreview" zoomScaleNormal="100" workbookViewId="0">
      <selection activeCell="B23" sqref="B23"/>
    </sheetView>
  </sheetViews>
  <sheetFormatPr defaultRowHeight="12.75"/>
  <cols>
    <col min="1" max="1" width="3" style="47" customWidth="1"/>
    <col min="2" max="2" width="48" style="47" customWidth="1"/>
    <col min="3" max="3" width="22.8554687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1" width="9.140625" style="3"/>
    <col min="12" max="12" width="3.28515625" style="3" customWidth="1"/>
    <col min="13" max="14" width="6" style="3" customWidth="1"/>
    <col min="15" max="15" width="5.42578125" style="3" customWidth="1"/>
    <col min="16" max="16" width="5.28515625" style="3" customWidth="1"/>
    <col min="17" max="17" width="5" style="3" customWidth="1"/>
    <col min="18" max="16384" width="9.140625" style="3"/>
  </cols>
  <sheetData>
    <row r="1" spans="1:17" ht="18">
      <c r="A1" s="27" t="s">
        <v>36</v>
      </c>
      <c r="B1" s="143"/>
      <c r="C1" s="143"/>
      <c r="D1" s="59"/>
      <c r="E1" s="59"/>
      <c r="F1" s="59"/>
      <c r="G1" s="59"/>
      <c r="H1" s="59"/>
      <c r="I1" s="59"/>
      <c r="J1" s="59"/>
      <c r="K1" s="59"/>
      <c r="L1" s="59"/>
      <c r="M1" s="59"/>
      <c r="N1" s="59"/>
    </row>
    <row r="2" spans="1:17" ht="20.25" customHeight="1">
      <c r="A2" s="41"/>
      <c r="B2" s="41"/>
      <c r="C2" s="41"/>
    </row>
    <row r="3" spans="1:17" ht="18">
      <c r="A3" s="27" t="s">
        <v>303</v>
      </c>
      <c r="B3" s="41"/>
      <c r="C3" s="41"/>
    </row>
    <row r="4" spans="1:17" ht="19.5" customHeight="1">
      <c r="B4" s="414" t="s">
        <v>111</v>
      </c>
      <c r="C4" s="414"/>
      <c r="D4" s="414"/>
      <c r="E4" s="414"/>
      <c r="F4" s="414"/>
      <c r="G4" s="414"/>
      <c r="H4" s="414"/>
      <c r="I4" s="414"/>
      <c r="J4" s="414"/>
      <c r="K4" s="414"/>
      <c r="L4" s="259"/>
    </row>
    <row r="5" spans="1:17" ht="33.75" customHeight="1">
      <c r="B5" s="414" t="s">
        <v>19</v>
      </c>
      <c r="C5" s="414"/>
      <c r="D5" s="414"/>
      <c r="E5" s="414"/>
      <c r="F5" s="414"/>
      <c r="G5" s="414"/>
      <c r="H5" s="414"/>
      <c r="I5" s="414"/>
      <c r="J5" s="414"/>
      <c r="K5" s="414"/>
      <c r="L5" s="259"/>
    </row>
    <row r="6" spans="1:17" ht="15.75">
      <c r="B6" s="414" t="s">
        <v>77</v>
      </c>
      <c r="C6" s="414"/>
      <c r="D6" s="414"/>
      <c r="E6" s="414"/>
      <c r="F6" s="414"/>
      <c r="G6" s="414"/>
      <c r="H6" s="414"/>
      <c r="I6" s="414"/>
      <c r="J6" s="414"/>
      <c r="K6" s="414"/>
      <c r="L6" s="259"/>
    </row>
    <row r="7" spans="1:17" ht="15.75">
      <c r="B7" s="259"/>
      <c r="C7" s="41"/>
      <c r="D7" s="259"/>
      <c r="E7" s="259"/>
      <c r="F7" s="259"/>
      <c r="G7" s="259"/>
      <c r="H7" s="259"/>
      <c r="I7" s="259"/>
      <c r="J7" s="259"/>
      <c r="K7" s="259"/>
      <c r="L7" s="259"/>
    </row>
    <row r="8" spans="1:17" ht="15.75">
      <c r="A8" s="61" t="s">
        <v>75</v>
      </c>
      <c r="B8" s="61"/>
      <c r="C8" s="61"/>
      <c r="D8" s="267"/>
      <c r="E8" s="267"/>
      <c r="F8" s="267"/>
      <c r="G8" s="267"/>
      <c r="H8" s="267"/>
      <c r="I8" s="267"/>
      <c r="J8" s="267"/>
      <c r="K8" s="267"/>
      <c r="L8" s="267"/>
      <c r="M8" s="43"/>
      <c r="N8" s="43"/>
      <c r="O8" s="43"/>
      <c r="P8" s="43"/>
      <c r="Q8" s="44"/>
    </row>
    <row r="9" spans="1:17" ht="15.75" customHeight="1">
      <c r="A9" s="61"/>
      <c r="B9" s="259" t="s">
        <v>78</v>
      </c>
      <c r="C9" s="61"/>
      <c r="D9" s="267"/>
      <c r="E9" s="267"/>
      <c r="F9" s="267"/>
      <c r="G9" s="267"/>
      <c r="H9" s="267"/>
      <c r="I9" s="267"/>
      <c r="J9" s="267"/>
      <c r="K9" s="267"/>
      <c r="L9" s="267"/>
      <c r="M9" s="43"/>
      <c r="N9" s="43"/>
      <c r="O9" s="43"/>
      <c r="P9" s="43"/>
      <c r="Q9" s="44"/>
    </row>
    <row r="10" spans="1:17" ht="15.75">
      <c r="A10" s="42"/>
      <c r="B10" s="414" t="s">
        <v>45</v>
      </c>
      <c r="C10" s="414"/>
      <c r="D10" s="414"/>
      <c r="E10" s="414"/>
      <c r="F10" s="414"/>
      <c r="G10" s="414"/>
      <c r="H10" s="414"/>
      <c r="I10" s="414"/>
      <c r="J10" s="414"/>
      <c r="K10" s="414"/>
      <c r="L10" s="113"/>
      <c r="M10" s="45"/>
      <c r="N10" s="45"/>
      <c r="O10" s="45"/>
      <c r="P10" s="45"/>
      <c r="Q10" s="44"/>
    </row>
    <row r="11" spans="1:17" ht="15.75" customHeight="1">
      <c r="A11" s="42"/>
      <c r="B11" s="113" t="s">
        <v>44</v>
      </c>
      <c r="C11" s="113"/>
      <c r="D11" s="259"/>
      <c r="E11" s="113"/>
      <c r="F11" s="113"/>
      <c r="G11" s="113"/>
      <c r="H11" s="113"/>
      <c r="I11" s="113"/>
      <c r="J11" s="113"/>
      <c r="K11" s="113"/>
      <c r="L11" s="113"/>
      <c r="M11" s="45"/>
      <c r="N11" s="45"/>
      <c r="O11" s="45"/>
      <c r="P11" s="45"/>
      <c r="Q11" s="44"/>
    </row>
    <row r="12" spans="1:17" ht="15.75" customHeight="1">
      <c r="A12" s="42"/>
      <c r="B12" s="259"/>
      <c r="C12" s="113"/>
      <c r="D12" s="259"/>
      <c r="E12" s="113"/>
      <c r="F12" s="113"/>
      <c r="G12" s="113"/>
      <c r="H12" s="113"/>
      <c r="I12" s="113"/>
      <c r="J12" s="113"/>
      <c r="K12" s="113"/>
      <c r="L12" s="113"/>
      <c r="M12" s="45"/>
      <c r="N12" s="45"/>
      <c r="O12" s="45"/>
      <c r="P12" s="45"/>
      <c r="Q12" s="44"/>
    </row>
    <row r="13" spans="1:17" ht="15.75" customHeight="1">
      <c r="A13" s="60" t="s">
        <v>76</v>
      </c>
      <c r="B13" s="60"/>
      <c r="C13" s="60"/>
      <c r="D13" s="60"/>
      <c r="E13" s="60"/>
      <c r="F13" s="60"/>
      <c r="G13" s="60"/>
      <c r="H13" s="60"/>
      <c r="I13" s="60"/>
      <c r="J13" s="60"/>
      <c r="K13" s="60"/>
      <c r="L13" s="60"/>
      <c r="M13" s="46"/>
      <c r="N13" s="46"/>
      <c r="O13" s="46"/>
      <c r="P13" s="46"/>
      <c r="Q13" s="44"/>
    </row>
    <row r="14" spans="1:17" ht="15.75" customHeight="1">
      <c r="A14" s="60"/>
      <c r="B14" s="259" t="s">
        <v>84</v>
      </c>
      <c r="C14" s="60"/>
      <c r="D14" s="60"/>
      <c r="E14" s="60"/>
      <c r="F14" s="60"/>
      <c r="G14" s="60"/>
      <c r="H14" s="60"/>
      <c r="I14" s="60"/>
      <c r="J14" s="60"/>
      <c r="K14" s="60"/>
      <c r="L14" s="60"/>
      <c r="M14" s="46"/>
      <c r="N14" s="46"/>
      <c r="O14" s="46"/>
      <c r="P14" s="46"/>
      <c r="Q14" s="44"/>
    </row>
    <row r="15" spans="1:17" ht="15.75" customHeight="1">
      <c r="A15" s="60"/>
      <c r="B15" s="414" t="s">
        <v>85</v>
      </c>
      <c r="C15" s="414"/>
      <c r="D15" s="414"/>
      <c r="E15" s="414"/>
      <c r="F15" s="414"/>
      <c r="G15" s="414"/>
      <c r="H15" s="414"/>
      <c r="I15" s="414"/>
      <c r="J15" s="414"/>
      <c r="K15" s="414"/>
      <c r="L15" s="60"/>
      <c r="M15" s="46"/>
      <c r="N15" s="46"/>
      <c r="O15" s="46"/>
      <c r="P15" s="46"/>
      <c r="Q15" s="44"/>
    </row>
    <row r="16" spans="1:17" ht="31.5" customHeight="1">
      <c r="A16" s="60"/>
      <c r="B16" s="414" t="s">
        <v>79</v>
      </c>
      <c r="C16" s="414"/>
      <c r="D16" s="414"/>
      <c r="E16" s="414"/>
      <c r="F16" s="414"/>
      <c r="G16" s="414"/>
      <c r="H16" s="414"/>
      <c r="I16" s="414"/>
      <c r="J16" s="414"/>
      <c r="K16" s="414"/>
      <c r="L16" s="60"/>
      <c r="M16" s="46"/>
      <c r="N16" s="46"/>
      <c r="O16" s="46"/>
      <c r="P16" s="46"/>
      <c r="Q16" s="44"/>
    </row>
    <row r="17" spans="1:17" ht="15.75" customHeight="1">
      <c r="A17" s="60"/>
      <c r="B17" s="264"/>
      <c r="C17" s="264"/>
      <c r="D17" s="264"/>
      <c r="E17" s="264"/>
      <c r="F17" s="264"/>
      <c r="G17" s="264"/>
      <c r="H17" s="264"/>
      <c r="I17" s="264"/>
      <c r="J17" s="264"/>
      <c r="K17" s="264"/>
      <c r="L17" s="60"/>
      <c r="M17" s="46"/>
      <c r="N17" s="46"/>
      <c r="O17" s="46"/>
      <c r="P17" s="46"/>
      <c r="Q17" s="44"/>
    </row>
    <row r="18" spans="1:17" ht="15.75" customHeight="1">
      <c r="A18" s="60"/>
      <c r="B18" s="414" t="s">
        <v>86</v>
      </c>
      <c r="C18" s="414"/>
      <c r="D18" s="414"/>
      <c r="E18" s="414"/>
      <c r="F18" s="414"/>
      <c r="G18" s="414"/>
      <c r="H18" s="414"/>
      <c r="I18" s="414"/>
      <c r="J18" s="414"/>
      <c r="K18" s="414"/>
      <c r="L18" s="60"/>
      <c r="M18" s="46"/>
      <c r="N18" s="46"/>
      <c r="O18" s="46"/>
      <c r="P18" s="46"/>
      <c r="Q18" s="44"/>
    </row>
    <row r="19" spans="1:17" ht="15.75" customHeight="1">
      <c r="A19" s="45"/>
      <c r="B19" s="259" t="s">
        <v>87</v>
      </c>
      <c r="C19" s="60"/>
      <c r="D19" s="60"/>
      <c r="E19" s="60"/>
      <c r="F19" s="60"/>
      <c r="G19" s="60"/>
      <c r="H19" s="60"/>
      <c r="I19" s="60"/>
      <c r="J19" s="60"/>
      <c r="K19" s="60"/>
      <c r="L19" s="60"/>
      <c r="M19" s="46"/>
      <c r="N19" s="46"/>
      <c r="O19" s="46"/>
      <c r="P19" s="46"/>
      <c r="Q19" s="44"/>
    </row>
    <row r="20" spans="1:17" ht="15.75">
      <c r="A20" s="45"/>
      <c r="B20" s="414" t="s">
        <v>80</v>
      </c>
      <c r="C20" s="414"/>
      <c r="D20" s="414"/>
      <c r="E20" s="414"/>
      <c r="F20" s="414"/>
      <c r="G20" s="414"/>
      <c r="H20" s="414"/>
      <c r="I20" s="414"/>
      <c r="J20" s="414"/>
      <c r="K20" s="414"/>
      <c r="L20" s="60"/>
      <c r="M20" s="46"/>
      <c r="N20" s="46"/>
      <c r="O20" s="46"/>
      <c r="P20" s="46"/>
      <c r="Q20" s="44"/>
    </row>
    <row r="21" spans="1:17" ht="15.75" customHeight="1">
      <c r="A21" s="45"/>
      <c r="B21" s="259"/>
      <c r="C21" s="60"/>
      <c r="D21" s="60"/>
      <c r="E21" s="60"/>
      <c r="F21" s="60"/>
      <c r="G21" s="60"/>
      <c r="H21" s="60"/>
      <c r="I21" s="60"/>
      <c r="J21" s="60"/>
      <c r="K21" s="60"/>
      <c r="L21" s="60"/>
      <c r="M21" s="46"/>
      <c r="N21" s="46"/>
      <c r="O21" s="46"/>
      <c r="P21" s="46"/>
      <c r="Q21" s="44"/>
    </row>
    <row r="22" spans="1:17" ht="15.75" customHeight="1">
      <c r="A22" s="60" t="s">
        <v>267</v>
      </c>
      <c r="B22" s="113"/>
      <c r="C22" s="60"/>
      <c r="D22" s="60"/>
      <c r="E22" s="60"/>
      <c r="F22" s="60"/>
      <c r="G22" s="60"/>
      <c r="H22" s="60"/>
      <c r="I22" s="60"/>
      <c r="J22" s="60"/>
      <c r="K22" s="60"/>
      <c r="L22" s="60"/>
      <c r="M22" s="46"/>
      <c r="N22" s="46"/>
      <c r="O22" s="46"/>
      <c r="P22" s="46"/>
      <c r="Q22" s="44"/>
    </row>
    <row r="23" spans="1:17" ht="15.75" customHeight="1">
      <c r="A23" s="60"/>
      <c r="B23" s="259" t="s">
        <v>81</v>
      </c>
      <c r="C23" s="60"/>
      <c r="D23" s="60"/>
      <c r="E23" s="60"/>
      <c r="F23" s="60"/>
      <c r="G23" s="60"/>
      <c r="H23" s="60"/>
      <c r="I23" s="60"/>
      <c r="J23" s="60"/>
      <c r="K23" s="60"/>
      <c r="L23" s="60"/>
      <c r="M23" s="46"/>
      <c r="N23" s="46"/>
      <c r="O23" s="46"/>
      <c r="P23" s="46"/>
      <c r="Q23" s="44"/>
    </row>
    <row r="24" spans="1:17" ht="15.75">
      <c r="A24" s="45"/>
      <c r="B24" s="414" t="s">
        <v>265</v>
      </c>
      <c r="C24" s="414"/>
      <c r="D24" s="414"/>
      <c r="E24" s="414"/>
      <c r="F24" s="414"/>
      <c r="G24" s="414"/>
      <c r="H24" s="414"/>
      <c r="I24" s="414"/>
      <c r="J24" s="414"/>
      <c r="K24" s="414"/>
      <c r="L24" s="60"/>
      <c r="M24" s="46"/>
      <c r="N24" s="46"/>
      <c r="O24" s="46"/>
      <c r="P24" s="46"/>
      <c r="Q24" s="44"/>
    </row>
    <row r="25" spans="1:17" ht="15.75" customHeight="1">
      <c r="A25" s="45"/>
      <c r="B25" s="113" t="s">
        <v>82</v>
      </c>
      <c r="C25" s="60"/>
      <c r="D25" s="60"/>
      <c r="E25" s="60"/>
      <c r="F25" s="60"/>
      <c r="G25" s="60"/>
      <c r="H25" s="60"/>
      <c r="I25" s="60"/>
      <c r="J25" s="60"/>
      <c r="K25" s="60"/>
      <c r="L25" s="60"/>
      <c r="M25" s="46"/>
      <c r="N25" s="46"/>
      <c r="O25" s="46"/>
      <c r="P25" s="46"/>
      <c r="Q25" s="44"/>
    </row>
    <row r="26" spans="1:17" ht="15.75" customHeight="1">
      <c r="A26" s="45"/>
      <c r="B26" s="113"/>
      <c r="C26" s="60"/>
      <c r="D26" s="60"/>
      <c r="E26" s="60"/>
      <c r="F26" s="60"/>
      <c r="G26" s="60"/>
      <c r="H26" s="60"/>
      <c r="I26" s="60"/>
      <c r="J26" s="60"/>
      <c r="K26" s="60"/>
      <c r="L26" s="60"/>
      <c r="M26" s="46"/>
      <c r="N26" s="46"/>
      <c r="O26" s="46"/>
      <c r="P26" s="46"/>
      <c r="Q26" s="44"/>
    </row>
    <row r="27" spans="1:17" ht="15.75" customHeight="1">
      <c r="A27" s="60" t="s">
        <v>266</v>
      </c>
      <c r="B27" s="113"/>
      <c r="C27" s="60"/>
      <c r="D27" s="60"/>
      <c r="E27" s="60"/>
      <c r="F27" s="60"/>
      <c r="G27" s="60"/>
      <c r="H27" s="60"/>
      <c r="I27" s="60"/>
      <c r="J27" s="60"/>
      <c r="K27" s="60"/>
      <c r="L27" s="60"/>
      <c r="M27" s="46"/>
      <c r="N27" s="46"/>
      <c r="O27" s="46"/>
      <c r="P27" s="46"/>
      <c r="Q27" s="44"/>
    </row>
    <row r="28" spans="1:17" ht="15.75" customHeight="1">
      <c r="A28" s="45"/>
      <c r="B28" s="259" t="s">
        <v>83</v>
      </c>
      <c r="C28" s="60"/>
      <c r="D28" s="60"/>
      <c r="E28" s="60"/>
      <c r="F28" s="60"/>
      <c r="G28" s="60"/>
      <c r="H28" s="60"/>
      <c r="I28" s="60"/>
      <c r="J28" s="60"/>
      <c r="K28" s="60"/>
      <c r="L28" s="60"/>
      <c r="M28" s="46"/>
      <c r="N28" s="46"/>
      <c r="O28" s="46"/>
      <c r="P28" s="46"/>
      <c r="Q28" s="44"/>
    </row>
    <row r="29" spans="1:17" ht="15.75" customHeight="1">
      <c r="A29" s="45"/>
      <c r="B29" s="259"/>
      <c r="C29" s="60"/>
      <c r="D29" s="60"/>
      <c r="E29" s="60"/>
      <c r="F29" s="60"/>
      <c r="G29" s="60"/>
      <c r="H29" s="60"/>
      <c r="I29" s="60"/>
      <c r="J29" s="60"/>
      <c r="K29" s="60"/>
      <c r="L29" s="60"/>
      <c r="M29" s="46"/>
      <c r="N29" s="46"/>
      <c r="O29" s="46"/>
      <c r="P29" s="46"/>
      <c r="Q29" s="44"/>
    </row>
    <row r="30" spans="1:17" ht="45.75" customHeight="1">
      <c r="A30" s="414" t="s">
        <v>35</v>
      </c>
      <c r="B30" s="414"/>
      <c r="C30" s="414"/>
      <c r="D30" s="414"/>
      <c r="E30" s="414"/>
      <c r="F30" s="414"/>
      <c r="G30" s="414"/>
      <c r="H30" s="414"/>
      <c r="I30" s="414"/>
      <c r="J30" s="414"/>
      <c r="K30" s="414"/>
      <c r="L30" s="60"/>
      <c r="M30" s="46"/>
      <c r="N30" s="46"/>
      <c r="O30" s="46"/>
      <c r="P30" s="46"/>
      <c r="Q30" s="44"/>
    </row>
    <row r="31" spans="1:17" ht="15.75" customHeight="1">
      <c r="A31" s="45"/>
      <c r="B31" s="113"/>
      <c r="C31" s="60"/>
      <c r="D31" s="60"/>
      <c r="E31" s="60"/>
      <c r="F31" s="60"/>
      <c r="G31" s="60"/>
      <c r="H31" s="60"/>
      <c r="I31" s="60"/>
      <c r="J31" s="60"/>
      <c r="K31" s="60"/>
      <c r="L31" s="60"/>
      <c r="M31" s="46"/>
      <c r="N31" s="46"/>
      <c r="O31" s="46"/>
      <c r="P31" s="46"/>
      <c r="Q31" s="44"/>
    </row>
    <row r="32" spans="1:17" s="271" customFormat="1" ht="31.5" customHeight="1">
      <c r="A32" s="416" t="s">
        <v>304</v>
      </c>
      <c r="B32" s="416"/>
      <c r="C32" s="416"/>
      <c r="D32" s="416"/>
      <c r="E32" s="416"/>
      <c r="F32" s="416"/>
      <c r="G32" s="416"/>
      <c r="H32" s="416"/>
      <c r="I32" s="416"/>
      <c r="J32" s="416"/>
      <c r="K32" s="416"/>
      <c r="L32" s="270"/>
    </row>
    <row r="33" spans="2:12" ht="15.75" customHeight="1">
      <c r="B33" s="113"/>
      <c r="C33" s="41"/>
      <c r="D33" s="259"/>
      <c r="E33" s="259"/>
      <c r="F33" s="259"/>
      <c r="G33" s="259"/>
      <c r="H33" s="259"/>
      <c r="I33" s="259"/>
      <c r="J33" s="259"/>
      <c r="K33" s="259"/>
      <c r="L33" s="259"/>
    </row>
    <row r="34" spans="2:12" ht="15.75" customHeight="1">
      <c r="B34" s="41"/>
      <c r="C34" s="41"/>
      <c r="D34" s="259"/>
      <c r="E34" s="259"/>
      <c r="F34" s="259"/>
      <c r="G34" s="259"/>
      <c r="H34" s="259"/>
      <c r="I34" s="259"/>
      <c r="J34" s="259"/>
      <c r="K34" s="259"/>
      <c r="L34" s="259"/>
    </row>
    <row r="35" spans="2:12" ht="15.75" customHeight="1">
      <c r="B35" s="41"/>
      <c r="C35" s="41"/>
      <c r="D35" s="259"/>
      <c r="E35" s="259"/>
      <c r="F35" s="259"/>
      <c r="G35" s="259"/>
      <c r="H35" s="259"/>
      <c r="I35" s="259"/>
      <c r="J35" s="259"/>
      <c r="K35" s="259"/>
      <c r="L35" s="259"/>
    </row>
  </sheetData>
  <mergeCells count="11">
    <mergeCell ref="B4:K4"/>
    <mergeCell ref="B6:K6"/>
    <mergeCell ref="B10:K10"/>
    <mergeCell ref="B15:K15"/>
    <mergeCell ref="B5:K5"/>
    <mergeCell ref="B18:K18"/>
    <mergeCell ref="A30:K30"/>
    <mergeCell ref="A32:K32"/>
    <mergeCell ref="B16:K16"/>
    <mergeCell ref="B20:K20"/>
    <mergeCell ref="B24:K24"/>
  </mergeCells>
  <phoneticPr fontId="2" type="noConversion"/>
  <pageMargins left="0.39370078740157483" right="0.27559055118110237" top="0.62992125984251968" bottom="0.98425196850393704" header="0.51181102362204722" footer="0.51181102362204722"/>
  <pageSetup paperSize="9" scale="74" fitToHeight="0" orientation="portrait" r:id="rId1"/>
  <headerFooter alignWithMargins="0">
    <oddFooter>&amp;CInstructions</oddFooter>
  </headerFooter>
  <colBreaks count="1" manualBreakCount="1">
    <brk id="20" max="81" man="1"/>
  </colBreaks>
</worksheet>
</file>

<file path=xl/worksheets/sheet3.xml><?xml version="1.0" encoding="utf-8"?>
<worksheet xmlns="http://schemas.openxmlformats.org/spreadsheetml/2006/main" xmlns:r="http://schemas.openxmlformats.org/officeDocument/2006/relationships">
  <sheetPr codeName="Sheet3" enableFormatConditionsCalculation="0">
    <tabColor indexed="52"/>
  </sheetPr>
  <dimension ref="A1:O73"/>
  <sheetViews>
    <sheetView view="pageBreakPreview" zoomScale="90" zoomScaleNormal="100" zoomScaleSheetLayoutView="100" workbookViewId="0">
      <pane xSplit="3" ySplit="12" topLeftCell="D13" activePane="bottomRight" state="frozen"/>
      <selection activeCell="C5" sqref="C5:N5"/>
      <selection pane="topRight" activeCell="C5" sqref="C5:N5"/>
      <selection pane="bottomLeft" activeCell="C5" sqref="C5:N5"/>
      <selection pane="bottomRight" activeCell="D33" sqref="D33"/>
    </sheetView>
  </sheetViews>
  <sheetFormatPr defaultRowHeight="13.5"/>
  <cols>
    <col min="1" max="1" width="4.28515625" style="24" customWidth="1"/>
    <col min="2" max="2" width="45.85546875" style="3" customWidth="1"/>
    <col min="3" max="3" width="5.42578125" style="7" bestFit="1" customWidth="1"/>
    <col min="4" max="4" width="13.42578125" style="7" bestFit="1" customWidth="1"/>
    <col min="5" max="5" width="11.85546875" style="7" customWidth="1"/>
    <col min="6" max="6" width="12" style="7" customWidth="1"/>
    <col min="7" max="7" width="10.28515625" style="4" customWidth="1"/>
    <col min="8" max="8" width="13.42578125" style="7" bestFit="1" customWidth="1"/>
    <col min="9" max="11" width="12" style="7" customWidth="1"/>
    <col min="12" max="12" width="0.85546875" style="7" customWidth="1"/>
    <col min="13" max="13" width="11.140625" style="16" customWidth="1"/>
    <col min="14" max="14" width="7.7109375" style="16" customWidth="1"/>
    <col min="15" max="16384" width="9.140625" style="3"/>
  </cols>
  <sheetData>
    <row r="1" spans="1:15" ht="20.25">
      <c r="B1" s="183" t="s">
        <v>449</v>
      </c>
      <c r="C1" s="193"/>
      <c r="D1" s="198"/>
      <c r="E1" s="198"/>
      <c r="F1" s="198"/>
      <c r="G1" s="198"/>
      <c r="H1" s="59"/>
      <c r="I1" s="193"/>
      <c r="J1" s="193"/>
      <c r="K1" s="193"/>
    </row>
    <row r="2" spans="1:15" ht="15.75">
      <c r="B2" s="141" t="s">
        <v>448</v>
      </c>
      <c r="D2" s="15"/>
      <c r="E2" s="15"/>
      <c r="F2" s="15"/>
      <c r="G2" s="15"/>
      <c r="H2" s="15"/>
    </row>
    <row r="3" spans="1:15" ht="18">
      <c r="B3" s="27"/>
      <c r="D3" s="417" t="s">
        <v>305</v>
      </c>
      <c r="E3" s="418"/>
      <c r="F3" s="418"/>
      <c r="G3" s="418"/>
      <c r="H3" s="418"/>
      <c r="I3" s="418"/>
      <c r="J3" s="418"/>
      <c r="K3" s="419"/>
    </row>
    <row r="4" spans="1:15">
      <c r="D4" s="15"/>
      <c r="E4" s="15"/>
      <c r="F4" s="15"/>
      <c r="G4" s="15" t="s">
        <v>108</v>
      </c>
      <c r="H4" s="15"/>
    </row>
    <row r="5" spans="1:15" ht="15.75">
      <c r="B5" s="141" t="s">
        <v>112</v>
      </c>
      <c r="D5" s="15"/>
      <c r="E5" s="15"/>
      <c r="F5" s="15"/>
      <c r="G5" s="15"/>
      <c r="H5" s="15"/>
    </row>
    <row r="6" spans="1:15" ht="15.75">
      <c r="B6" s="141" t="s">
        <v>447</v>
      </c>
      <c r="D6" s="15"/>
      <c r="E6" s="15"/>
      <c r="F6" s="15"/>
      <c r="G6" s="15"/>
      <c r="H6" s="15"/>
    </row>
    <row r="7" spans="1:15" ht="15.75">
      <c r="B7" s="141" t="s">
        <v>46</v>
      </c>
      <c r="D7" s="15"/>
      <c r="E7" s="15"/>
      <c r="F7" s="15"/>
      <c r="G7" s="15"/>
      <c r="H7" s="15"/>
    </row>
    <row r="8" spans="1:15" ht="15.75">
      <c r="B8" s="141" t="s">
        <v>47</v>
      </c>
      <c r="D8" s="15"/>
      <c r="E8" s="15"/>
      <c r="F8" s="15"/>
      <c r="G8" s="15"/>
      <c r="H8" s="15"/>
    </row>
    <row r="9" spans="1:15" ht="14.25" thickBot="1">
      <c r="B9" s="15"/>
      <c r="D9" s="15"/>
      <c r="E9" s="15"/>
      <c r="F9" s="15"/>
      <c r="G9" s="15"/>
      <c r="H9" s="15"/>
    </row>
    <row r="10" spans="1:15" ht="15.75">
      <c r="B10" s="426" t="s">
        <v>212</v>
      </c>
      <c r="C10" s="429" t="s">
        <v>150</v>
      </c>
      <c r="D10" s="423" t="s">
        <v>295</v>
      </c>
      <c r="E10" s="424"/>
      <c r="F10" s="424"/>
      <c r="G10" s="425"/>
      <c r="H10" s="420" t="s">
        <v>294</v>
      </c>
      <c r="I10" s="421"/>
      <c r="J10" s="421"/>
      <c r="K10" s="422"/>
      <c r="L10" s="8"/>
      <c r="M10" s="17" t="s">
        <v>171</v>
      </c>
      <c r="N10" s="18" t="s">
        <v>135</v>
      </c>
    </row>
    <row r="11" spans="1:15" s="4" customFormat="1" ht="28.5" customHeight="1">
      <c r="A11" s="25"/>
      <c r="B11" s="427"/>
      <c r="C11" s="430"/>
      <c r="D11" s="201" t="s">
        <v>193</v>
      </c>
      <c r="E11" s="202" t="s">
        <v>194</v>
      </c>
      <c r="F11" s="202" t="s">
        <v>195</v>
      </c>
      <c r="G11" s="203" t="s">
        <v>198</v>
      </c>
      <c r="H11" s="201" t="s">
        <v>193</v>
      </c>
      <c r="I11" s="202" t="s">
        <v>194</v>
      </c>
      <c r="J11" s="202" t="s">
        <v>195</v>
      </c>
      <c r="K11" s="203" t="s">
        <v>197</v>
      </c>
      <c r="L11" s="9"/>
      <c r="M11" s="17" t="s">
        <v>172</v>
      </c>
      <c r="N11" s="18">
        <v>2011</v>
      </c>
      <c r="O11" s="18">
        <v>2009</v>
      </c>
    </row>
    <row r="12" spans="1:15" s="6" customFormat="1" ht="57.75" customHeight="1" thickBot="1">
      <c r="A12" s="26"/>
      <c r="B12" s="428"/>
      <c r="C12" s="431"/>
      <c r="D12" s="204" t="s">
        <v>170</v>
      </c>
      <c r="E12" s="205" t="s">
        <v>169</v>
      </c>
      <c r="F12" s="205" t="s">
        <v>148</v>
      </c>
      <c r="G12" s="206"/>
      <c r="H12" s="207" t="s">
        <v>293</v>
      </c>
      <c r="I12" s="208" t="s">
        <v>293</v>
      </c>
      <c r="J12" s="208" t="s">
        <v>293</v>
      </c>
      <c r="K12" s="209" t="s">
        <v>293</v>
      </c>
      <c r="L12" s="10"/>
      <c r="M12" s="19" t="s">
        <v>173</v>
      </c>
      <c r="N12" s="277" t="s">
        <v>312</v>
      </c>
    </row>
    <row r="13" spans="1:15" ht="15.75">
      <c r="B13" s="210" t="s">
        <v>189</v>
      </c>
      <c r="C13" s="211"/>
      <c r="D13" s="210" t="s">
        <v>199</v>
      </c>
      <c r="E13" s="211"/>
      <c r="F13" s="211"/>
      <c r="G13" s="212"/>
      <c r="H13" s="213"/>
      <c r="I13" s="214"/>
      <c r="J13" s="214"/>
      <c r="K13" s="215"/>
      <c r="L13" s="11"/>
      <c r="M13" s="20"/>
    </row>
    <row r="14" spans="1:15" ht="15.75">
      <c r="B14" s="200" t="s">
        <v>20</v>
      </c>
      <c r="C14" s="216" t="s">
        <v>136</v>
      </c>
      <c r="D14" s="217"/>
      <c r="E14" s="218"/>
      <c r="F14" s="218"/>
      <c r="G14" s="219" t="str">
        <f>IF(CONCATENATE(D14,E14,F14)="","",SUM(D14:F14))</f>
        <v/>
      </c>
      <c r="H14" s="220" t="str">
        <f t="shared" ref="H14:K16" si="0">IF(D14="","",D14*$N14)</f>
        <v/>
      </c>
      <c r="I14" s="221" t="str">
        <f t="shared" si="0"/>
        <v/>
      </c>
      <c r="J14" s="221" t="str">
        <f t="shared" si="0"/>
        <v/>
      </c>
      <c r="K14" s="222" t="str">
        <f t="shared" si="0"/>
        <v/>
      </c>
      <c r="L14" s="12"/>
      <c r="M14" s="21" t="s">
        <v>188</v>
      </c>
      <c r="N14" s="16">
        <f>0.89/1000</f>
        <v>8.9000000000000006E-4</v>
      </c>
      <c r="O14" s="16">
        <f>0.89/1000</f>
        <v>8.9000000000000006E-4</v>
      </c>
    </row>
    <row r="15" spans="1:15" ht="15.75">
      <c r="B15" s="200" t="s">
        <v>21</v>
      </c>
      <c r="C15" s="216" t="s">
        <v>136</v>
      </c>
      <c r="D15" s="217"/>
      <c r="E15" s="218"/>
      <c r="F15" s="218"/>
      <c r="G15" s="219"/>
      <c r="H15" s="220"/>
      <c r="I15" s="221"/>
      <c r="J15" s="221"/>
      <c r="K15" s="222"/>
      <c r="L15" s="12"/>
      <c r="M15" s="21" t="s">
        <v>188</v>
      </c>
      <c r="N15" s="16">
        <f>0.88/1000</f>
        <v>8.8000000000000003E-4</v>
      </c>
      <c r="O15" s="16"/>
    </row>
    <row r="16" spans="1:15" ht="15.75">
      <c r="B16" s="200" t="s">
        <v>191</v>
      </c>
      <c r="C16" s="216" t="s">
        <v>136</v>
      </c>
      <c r="D16" s="217"/>
      <c r="E16" s="218"/>
      <c r="F16" s="218"/>
      <c r="G16" s="219" t="str">
        <f>IF(CONCATENATE(D16,E16,F16)="","",SUM(D16:F16))</f>
        <v/>
      </c>
      <c r="H16" s="220" t="str">
        <f t="shared" si="0"/>
        <v/>
      </c>
      <c r="I16" s="221" t="str">
        <f t="shared" si="0"/>
        <v/>
      </c>
      <c r="J16" s="221" t="str">
        <f t="shared" si="0"/>
        <v/>
      </c>
      <c r="K16" s="222" t="str">
        <f t="shared" si="0"/>
        <v/>
      </c>
      <c r="L16" s="12"/>
      <c r="M16" s="21" t="s">
        <v>188</v>
      </c>
      <c r="N16" s="16">
        <f>1.21/1000</f>
        <v>1.2099999999999999E-3</v>
      </c>
      <c r="O16" s="16">
        <f>1.22/1000</f>
        <v>1.2199999999999999E-3</v>
      </c>
    </row>
    <row r="17" spans="2:15" ht="15.75">
      <c r="B17" s="223" t="s">
        <v>151</v>
      </c>
      <c r="C17" s="224" t="s">
        <v>271</v>
      </c>
      <c r="D17" s="225"/>
      <c r="E17" s="226"/>
      <c r="F17" s="226"/>
      <c r="G17" s="219"/>
      <c r="H17" s="227">
        <f>SUM(H14:H16)</f>
        <v>0</v>
      </c>
      <c r="I17" s="228">
        <f>SUM(I14:I16)</f>
        <v>0</v>
      </c>
      <c r="J17" s="228">
        <f>SUM(J14:J16)</f>
        <v>0</v>
      </c>
      <c r="K17" s="229">
        <f>SUM(K14:K16)</f>
        <v>0</v>
      </c>
      <c r="L17" s="12"/>
      <c r="M17" s="21"/>
    </row>
    <row r="18" spans="2:15" ht="15.75">
      <c r="B18" s="200"/>
      <c r="C18" s="216"/>
      <c r="D18" s="230"/>
      <c r="E18" s="231"/>
      <c r="F18" s="231"/>
      <c r="G18" s="232"/>
      <c r="H18" s="220"/>
      <c r="I18" s="221"/>
      <c r="J18" s="221"/>
      <c r="K18" s="222"/>
      <c r="L18" s="14"/>
      <c r="M18" s="22"/>
    </row>
    <row r="19" spans="2:15" ht="15.75">
      <c r="B19" s="233" t="s">
        <v>258</v>
      </c>
      <c r="C19" s="234"/>
      <c r="D19" s="233"/>
      <c r="E19" s="234"/>
      <c r="F19" s="234"/>
      <c r="G19" s="235"/>
      <c r="H19" s="236"/>
      <c r="I19" s="237"/>
      <c r="J19" s="237"/>
      <c r="K19" s="238"/>
      <c r="L19" s="11"/>
      <c r="M19" s="20"/>
    </row>
    <row r="20" spans="2:15" ht="15.75">
      <c r="B20" s="200" t="s">
        <v>166</v>
      </c>
      <c r="C20" s="216" t="s">
        <v>131</v>
      </c>
      <c r="D20" s="239"/>
      <c r="E20" s="240"/>
      <c r="F20" s="240"/>
      <c r="G20" s="241" t="str">
        <f t="shared" ref="G20:G26" si="1">IF(CONCATENATE(D20,E20,F20)="","",SUM(D20:F20))</f>
        <v/>
      </c>
      <c r="H20" s="220" t="str">
        <f t="shared" ref="H20:H26" si="2">IF(D20="","",IF($C20="L",D20*$N20/1000,D20*$N20))</f>
        <v/>
      </c>
      <c r="I20" s="221" t="str">
        <f t="shared" ref="I20:I26" si="3">IF(E20="","",IF($C20="L",E20*$N20/1000,E20*$N20))</f>
        <v/>
      </c>
      <c r="J20" s="221" t="str">
        <f t="shared" ref="J20:J26" si="4">IF(F20="","",IF($C20="L",F20*$N20/1000,F20*$N20))</f>
        <v/>
      </c>
      <c r="K20" s="222" t="str">
        <f t="shared" ref="K20:K26" si="5">IF(CONCATENATE(H20,I20,J20)="","",SUM(H20:J20))</f>
        <v/>
      </c>
      <c r="L20" s="12"/>
      <c r="M20" s="21" t="s">
        <v>180</v>
      </c>
      <c r="N20" s="16">
        <v>2.2190240000000006</v>
      </c>
      <c r="O20" s="16">
        <v>2.2190240000000006</v>
      </c>
    </row>
    <row r="21" spans="2:15" ht="15.75">
      <c r="B21" s="200" t="s">
        <v>167</v>
      </c>
      <c r="C21" s="216" t="s">
        <v>131</v>
      </c>
      <c r="D21" s="239"/>
      <c r="E21" s="240"/>
      <c r="F21" s="240"/>
      <c r="G21" s="241" t="str">
        <f t="shared" si="1"/>
        <v/>
      </c>
      <c r="H21" s="220" t="str">
        <f t="shared" si="2"/>
        <v/>
      </c>
      <c r="I21" s="221" t="str">
        <f t="shared" si="3"/>
        <v/>
      </c>
      <c r="J21" s="221" t="str">
        <f t="shared" si="4"/>
        <v/>
      </c>
      <c r="K21" s="222" t="str">
        <f t="shared" si="5"/>
        <v/>
      </c>
      <c r="L21" s="12"/>
      <c r="M21" s="21" t="s">
        <v>180</v>
      </c>
      <c r="N21" s="16">
        <v>2.5616479999999999</v>
      </c>
      <c r="O21" s="16">
        <v>2.5616479999999999</v>
      </c>
    </row>
    <row r="22" spans="2:15" ht="15.75">
      <c r="B22" s="200" t="s">
        <v>181</v>
      </c>
      <c r="C22" s="216" t="s">
        <v>131</v>
      </c>
      <c r="D22" s="239"/>
      <c r="E22" s="240"/>
      <c r="F22" s="240"/>
      <c r="G22" s="241" t="str">
        <f t="shared" si="1"/>
        <v/>
      </c>
      <c r="H22" s="220" t="str">
        <f t="shared" si="2"/>
        <v/>
      </c>
      <c r="I22" s="221" t="str">
        <f t="shared" si="3"/>
        <v/>
      </c>
      <c r="J22" s="221" t="str">
        <f t="shared" si="4"/>
        <v/>
      </c>
      <c r="K22" s="222" t="str">
        <f t="shared" si="5"/>
        <v/>
      </c>
      <c r="L22" s="12"/>
      <c r="M22" s="21" t="s">
        <v>180</v>
      </c>
      <c r="N22" s="16">
        <v>2.9203320000000001</v>
      </c>
      <c r="O22" s="16">
        <v>2.9203320000000001</v>
      </c>
    </row>
    <row r="23" spans="2:15" ht="15.75">
      <c r="B23" s="200" t="s">
        <v>182</v>
      </c>
      <c r="C23" s="216" t="s">
        <v>131</v>
      </c>
      <c r="D23" s="239"/>
      <c r="E23" s="240"/>
      <c r="F23" s="240"/>
      <c r="G23" s="241" t="str">
        <f t="shared" si="1"/>
        <v/>
      </c>
      <c r="H23" s="220" t="str">
        <f t="shared" si="2"/>
        <v/>
      </c>
      <c r="I23" s="221" t="str">
        <f t="shared" si="3"/>
        <v/>
      </c>
      <c r="J23" s="221" t="str">
        <f t="shared" si="4"/>
        <v/>
      </c>
      <c r="K23" s="222" t="str">
        <f t="shared" si="5"/>
        <v/>
      </c>
      <c r="L23" s="12"/>
      <c r="M23" s="21" t="s">
        <v>180</v>
      </c>
      <c r="N23" s="16">
        <v>0.11764000000000001</v>
      </c>
      <c r="O23" s="16">
        <v>0.11764000000000001</v>
      </c>
    </row>
    <row r="24" spans="2:15" ht="15.75">
      <c r="B24" s="200" t="s">
        <v>183</v>
      </c>
      <c r="C24" s="216" t="s">
        <v>131</v>
      </c>
      <c r="D24" s="239"/>
      <c r="E24" s="240"/>
      <c r="F24" s="240"/>
      <c r="G24" s="241" t="str">
        <f t="shared" si="1"/>
        <v/>
      </c>
      <c r="H24" s="220" t="str">
        <f t="shared" si="2"/>
        <v/>
      </c>
      <c r="I24" s="221" t="str">
        <f t="shared" si="3"/>
        <v/>
      </c>
      <c r="J24" s="221" t="str">
        <f t="shared" si="4"/>
        <v/>
      </c>
      <c r="K24" s="222" t="str">
        <f t="shared" si="5"/>
        <v/>
      </c>
      <c r="L24" s="12"/>
      <c r="M24" s="21" t="s">
        <v>180</v>
      </c>
      <c r="N24" s="16">
        <v>2.2886640000000003</v>
      </c>
      <c r="O24" s="16">
        <v>2.2886640000000003</v>
      </c>
    </row>
    <row r="25" spans="2:15" ht="15.75">
      <c r="B25" s="200" t="s">
        <v>184</v>
      </c>
      <c r="C25" s="216" t="s">
        <v>131</v>
      </c>
      <c r="D25" s="239"/>
      <c r="E25" s="240"/>
      <c r="F25" s="240"/>
      <c r="G25" s="241" t="str">
        <f t="shared" si="1"/>
        <v/>
      </c>
      <c r="H25" s="220" t="str">
        <f t="shared" si="2"/>
        <v/>
      </c>
      <c r="I25" s="221" t="str">
        <f t="shared" si="3"/>
        <v/>
      </c>
      <c r="J25" s="221" t="str">
        <f t="shared" si="4"/>
        <v/>
      </c>
      <c r="K25" s="222" t="str">
        <f t="shared" si="5"/>
        <v/>
      </c>
      <c r="L25" s="12"/>
      <c r="M25" s="21" t="s">
        <v>180</v>
      </c>
      <c r="N25" s="16">
        <v>2.6946660000000002</v>
      </c>
      <c r="O25" s="16">
        <v>2.6946660000000002</v>
      </c>
    </row>
    <row r="26" spans="2:15" ht="15.75">
      <c r="B26" s="200" t="s">
        <v>185</v>
      </c>
      <c r="C26" s="216" t="s">
        <v>131</v>
      </c>
      <c r="D26" s="239"/>
      <c r="E26" s="240"/>
      <c r="F26" s="240"/>
      <c r="G26" s="241" t="str">
        <f t="shared" si="1"/>
        <v/>
      </c>
      <c r="H26" s="220" t="str">
        <f t="shared" si="2"/>
        <v/>
      </c>
      <c r="I26" s="221" t="str">
        <f t="shared" si="3"/>
        <v/>
      </c>
      <c r="J26" s="221" t="str">
        <f t="shared" si="4"/>
        <v/>
      </c>
      <c r="K26" s="222" t="str">
        <f t="shared" si="5"/>
        <v/>
      </c>
      <c r="L26" s="12"/>
      <c r="M26" s="21" t="s">
        <v>180</v>
      </c>
      <c r="N26" s="16">
        <v>1.5772399999999998</v>
      </c>
      <c r="O26" s="16">
        <v>1.5772399999999998</v>
      </c>
    </row>
    <row r="27" spans="2:15" ht="15.75">
      <c r="B27" s="200" t="s">
        <v>186</v>
      </c>
      <c r="C27" s="216" t="s">
        <v>131</v>
      </c>
      <c r="D27" s="239"/>
      <c r="E27" s="240"/>
      <c r="F27" s="240"/>
      <c r="G27" s="241" t="str">
        <f>IF(CONCATENATE(D27,E27,F27)="","",SUM(D27:F27))</f>
        <v/>
      </c>
      <c r="H27" s="220" t="str">
        <f>IF(D27="","",IF($C27="L",D27*$N27/1000,D27*$N27))</f>
        <v/>
      </c>
      <c r="I27" s="221" t="str">
        <f>IF(E27="","",IF($C27="L",E27*$N27/1000,E27*$N27))</f>
        <v/>
      </c>
      <c r="J27" s="221" t="str">
        <f>IF(F27="","",IF($C27="L",F27*$N27/1000,F27*$N27))</f>
        <v/>
      </c>
      <c r="K27" s="222" t="str">
        <f>IF(CONCATENATE(H27,I27,J27)="","",SUM(H27:J27))</f>
        <v/>
      </c>
      <c r="L27" s="12"/>
      <c r="M27" s="21" t="s">
        <v>180</v>
      </c>
      <c r="N27" s="16">
        <v>9.3600000000000003E-3</v>
      </c>
      <c r="O27" s="16">
        <v>9.3600000000000003E-3</v>
      </c>
    </row>
    <row r="28" spans="2:15" ht="15.75">
      <c r="B28" s="223" t="s">
        <v>151</v>
      </c>
      <c r="C28" s="224" t="s">
        <v>271</v>
      </c>
      <c r="D28" s="242"/>
      <c r="E28" s="243"/>
      <c r="F28" s="243"/>
      <c r="G28" s="241"/>
      <c r="H28" s="227">
        <f>SUM(H20:H27)</f>
        <v>0</v>
      </c>
      <c r="I28" s="228">
        <f>SUM(I20:I27)</f>
        <v>0</v>
      </c>
      <c r="J28" s="228">
        <f>SUM(J20:J27)</f>
        <v>0</v>
      </c>
      <c r="K28" s="229">
        <f>SUM(K20:K27)</f>
        <v>0</v>
      </c>
      <c r="L28" s="13"/>
      <c r="M28" s="23"/>
      <c r="O28" s="16"/>
    </row>
    <row r="29" spans="2:15" ht="15.75">
      <c r="B29" s="200"/>
      <c r="C29" s="216"/>
      <c r="D29" s="242"/>
      <c r="E29" s="243"/>
      <c r="F29" s="243"/>
      <c r="G29" s="241"/>
      <c r="H29" s="220"/>
      <c r="I29" s="221"/>
      <c r="J29" s="221"/>
      <c r="K29" s="222"/>
      <c r="L29" s="14"/>
      <c r="M29" s="22"/>
      <c r="O29" s="16"/>
    </row>
    <row r="30" spans="2:15" ht="15.75">
      <c r="B30" s="233" t="s">
        <v>259</v>
      </c>
      <c r="C30" s="234"/>
      <c r="D30" s="244"/>
      <c r="E30" s="245"/>
      <c r="F30" s="245"/>
      <c r="G30" s="246"/>
      <c r="H30" s="236"/>
      <c r="I30" s="237"/>
      <c r="J30" s="237"/>
      <c r="K30" s="238"/>
      <c r="L30" s="11"/>
      <c r="M30" s="20"/>
      <c r="O30" s="16"/>
    </row>
    <row r="31" spans="2:15" ht="15.75">
      <c r="B31" s="247" t="s">
        <v>163</v>
      </c>
      <c r="C31" s="216" t="s">
        <v>131</v>
      </c>
      <c r="D31" s="239"/>
      <c r="E31" s="240"/>
      <c r="F31" s="240"/>
      <c r="G31" s="241" t="str">
        <f t="shared" ref="G31:G38" si="6">IF(CONCATENATE(D31,E31,F31)="","",SUM(D31:F31))</f>
        <v/>
      </c>
      <c r="H31" s="220" t="str">
        <f>IF(D31="","",IF($C31="L",D31*$N31/1000,D31*$N31))</f>
        <v/>
      </c>
      <c r="I31" s="221" t="str">
        <f>IF(E31="","",IF($C31="L",E31*$N31/1000,E31*$N31))</f>
        <v/>
      </c>
      <c r="J31" s="221" t="str">
        <f>IF(F31="","",IF($C31="L",F31*$N31/1000,F31*$N31))</f>
        <v/>
      </c>
      <c r="K31" s="222" t="str">
        <f t="shared" ref="K31:K38" si="7">IF(CONCATENATE(H31,I31,J31)="","",SUM(H31:J31))</f>
        <v/>
      </c>
      <c r="L31" s="12"/>
      <c r="M31" s="21" t="s">
        <v>178</v>
      </c>
      <c r="N31" s="16">
        <v>1.0825199999999997</v>
      </c>
      <c r="O31" s="16">
        <v>1.0825199999999997</v>
      </c>
    </row>
    <row r="32" spans="2:15" ht="15.75">
      <c r="B32" s="247" t="s">
        <v>164</v>
      </c>
      <c r="C32" s="216" t="s">
        <v>131</v>
      </c>
      <c r="D32" s="239"/>
      <c r="E32" s="240"/>
      <c r="F32" s="240"/>
      <c r="G32" s="241" t="str">
        <f t="shared" si="6"/>
        <v/>
      </c>
      <c r="H32" s="220" t="str">
        <f t="shared" ref="H32:H37" si="8">IF(D32="","",IF($C32="L",D32*$N32/1000,D32*$N32))</f>
        <v/>
      </c>
      <c r="I32" s="221" t="str">
        <f t="shared" ref="I32:I37" si="9">IF(E32="","",IF($C32="L",E32*$N32/1000,E32*$N32))</f>
        <v/>
      </c>
      <c r="J32" s="221" t="str">
        <f t="shared" ref="J32:J37" si="10">IF(F32="","",IF($C32="L",F32*$N32/1000,F32*$N32))</f>
        <v/>
      </c>
      <c r="K32" s="222" t="str">
        <f t="shared" si="7"/>
        <v/>
      </c>
      <c r="L32" s="12"/>
      <c r="M32" s="21" t="s">
        <v>178</v>
      </c>
      <c r="N32" s="16">
        <v>2.2948200000000005</v>
      </c>
      <c r="O32" s="16">
        <v>2.2948200000000005</v>
      </c>
    </row>
    <row r="33" spans="2:15" ht="15.75">
      <c r="B33" s="247" t="s">
        <v>165</v>
      </c>
      <c r="C33" s="216" t="s">
        <v>131</v>
      </c>
      <c r="D33" s="239"/>
      <c r="E33" s="240"/>
      <c r="F33" s="240"/>
      <c r="G33" s="241" t="str">
        <f t="shared" si="6"/>
        <v/>
      </c>
      <c r="H33" s="220" t="str">
        <f t="shared" si="8"/>
        <v/>
      </c>
      <c r="I33" s="221" t="str">
        <f t="shared" si="9"/>
        <v/>
      </c>
      <c r="J33" s="221" t="str">
        <f t="shared" si="10"/>
        <v/>
      </c>
      <c r="K33" s="222" t="str">
        <f t="shared" si="7"/>
        <v/>
      </c>
      <c r="L33" s="12"/>
      <c r="M33" s="21" t="s">
        <v>178</v>
      </c>
      <c r="N33" s="16">
        <v>2.5653750000000004</v>
      </c>
      <c r="O33" s="16">
        <v>2.5653750000000004</v>
      </c>
    </row>
    <row r="34" spans="2:15" ht="15.75">
      <c r="B34" s="247" t="s">
        <v>144</v>
      </c>
      <c r="C34" s="216" t="s">
        <v>131</v>
      </c>
      <c r="D34" s="239"/>
      <c r="E34" s="240"/>
      <c r="F34" s="240"/>
      <c r="G34" s="241" t="str">
        <f t="shared" si="6"/>
        <v/>
      </c>
      <c r="H34" s="220" t="str">
        <f t="shared" si="8"/>
        <v/>
      </c>
      <c r="I34" s="221" t="str">
        <f t="shared" si="9"/>
        <v/>
      </c>
      <c r="J34" s="221" t="str">
        <f t="shared" si="10"/>
        <v/>
      </c>
      <c r="K34" s="222" t="str">
        <f t="shared" si="7"/>
        <v/>
      </c>
      <c r="L34" s="12"/>
      <c r="M34" s="21" t="s">
        <v>178</v>
      </c>
      <c r="N34" s="16">
        <v>2.5744459999999996</v>
      </c>
      <c r="O34" s="16">
        <v>2.5744459999999996</v>
      </c>
    </row>
    <row r="35" spans="2:15" ht="15.75">
      <c r="B35" s="247" t="s">
        <v>145</v>
      </c>
      <c r="C35" s="216" t="s">
        <v>131</v>
      </c>
      <c r="D35" s="239"/>
      <c r="E35" s="240"/>
      <c r="F35" s="240"/>
      <c r="G35" s="241" t="str">
        <f t="shared" si="6"/>
        <v/>
      </c>
      <c r="H35" s="220" t="str">
        <f t="shared" si="8"/>
        <v/>
      </c>
      <c r="I35" s="221" t="str">
        <f t="shared" si="9"/>
        <v/>
      </c>
      <c r="J35" s="221" t="str">
        <f t="shared" si="10"/>
        <v/>
      </c>
      <c r="K35" s="222" t="str">
        <f t="shared" si="7"/>
        <v/>
      </c>
      <c r="L35" s="12"/>
      <c r="M35" s="21" t="s">
        <v>178</v>
      </c>
      <c r="N35" s="16">
        <v>2.6827000000000001</v>
      </c>
      <c r="O35" s="16">
        <v>2.6827000000000001</v>
      </c>
    </row>
    <row r="36" spans="2:15" ht="15.75">
      <c r="B36" s="247" t="s">
        <v>133</v>
      </c>
      <c r="C36" s="216" t="s">
        <v>131</v>
      </c>
      <c r="D36" s="239"/>
      <c r="E36" s="240"/>
      <c r="F36" s="240"/>
      <c r="G36" s="241" t="str">
        <f t="shared" si="6"/>
        <v/>
      </c>
      <c r="H36" s="220" t="str">
        <f t="shared" si="8"/>
        <v/>
      </c>
      <c r="I36" s="221" t="str">
        <f t="shared" si="9"/>
        <v/>
      </c>
      <c r="J36" s="221" t="str">
        <f t="shared" si="10"/>
        <v/>
      </c>
      <c r="K36" s="222" t="str">
        <f t="shared" si="7"/>
        <v/>
      </c>
      <c r="L36" s="12"/>
      <c r="M36" s="21" t="s">
        <v>178</v>
      </c>
      <c r="N36" s="16">
        <v>2.9032610000000005</v>
      </c>
      <c r="O36" s="16">
        <v>2.9032610000000005</v>
      </c>
    </row>
    <row r="37" spans="2:15" ht="15.75">
      <c r="B37" s="247" t="s">
        <v>146</v>
      </c>
      <c r="C37" s="216" t="s">
        <v>131</v>
      </c>
      <c r="D37" s="239"/>
      <c r="E37" s="240"/>
      <c r="F37" s="240"/>
      <c r="G37" s="241" t="str">
        <f t="shared" si="6"/>
        <v/>
      </c>
      <c r="H37" s="220" t="str">
        <f t="shared" si="8"/>
        <v/>
      </c>
      <c r="I37" s="221" t="str">
        <f t="shared" si="9"/>
        <v/>
      </c>
      <c r="J37" s="221" t="str">
        <f t="shared" si="10"/>
        <v/>
      </c>
      <c r="K37" s="222" t="str">
        <f t="shared" si="7"/>
        <v/>
      </c>
      <c r="L37" s="12"/>
      <c r="M37" s="21" t="s">
        <v>178</v>
      </c>
      <c r="N37" s="16">
        <v>1.5394300000000001</v>
      </c>
      <c r="O37" s="16">
        <v>1.5394300000000001</v>
      </c>
    </row>
    <row r="38" spans="2:15" ht="15.75">
      <c r="B38" s="247" t="s">
        <v>132</v>
      </c>
      <c r="C38" s="216" t="s">
        <v>131</v>
      </c>
      <c r="D38" s="239"/>
      <c r="E38" s="240"/>
      <c r="F38" s="240"/>
      <c r="G38" s="241" t="str">
        <f t="shared" si="6"/>
        <v/>
      </c>
      <c r="H38" s="220" t="str">
        <f t="shared" ref="H38:J39" si="11">IF(D38="","",IF($C38="L",D38*$N38/1000,D38*$N38))</f>
        <v/>
      </c>
      <c r="I38" s="221" t="str">
        <f t="shared" si="11"/>
        <v/>
      </c>
      <c r="J38" s="221" t="str">
        <f t="shared" si="11"/>
        <v/>
      </c>
      <c r="K38" s="222" t="str">
        <f t="shared" si="7"/>
        <v/>
      </c>
      <c r="L38" s="12"/>
      <c r="M38" s="21" t="s">
        <v>178</v>
      </c>
      <c r="N38" s="16">
        <v>8.9960000000000005E-3</v>
      </c>
      <c r="O38" s="16">
        <v>8.9960000000000005E-3</v>
      </c>
    </row>
    <row r="39" spans="2:15" ht="15.75">
      <c r="B39" s="247" t="s">
        <v>179</v>
      </c>
      <c r="C39" s="216" t="s">
        <v>131</v>
      </c>
      <c r="D39" s="239"/>
      <c r="E39" s="240"/>
      <c r="F39" s="240"/>
      <c r="G39" s="241" t="str">
        <f>IF(CONCATENATE(D39,E39,F39)="","",SUM(D39:F39))</f>
        <v/>
      </c>
      <c r="H39" s="220" t="str">
        <f t="shared" si="11"/>
        <v/>
      </c>
      <c r="I39" s="221" t="str">
        <f t="shared" si="11"/>
        <v/>
      </c>
      <c r="J39" s="221" t="str">
        <f t="shared" si="11"/>
        <v/>
      </c>
      <c r="K39" s="222" t="str">
        <f>IF(CONCATENATE(H39,I39,J39)="","",SUM(H39:J39))</f>
        <v/>
      </c>
      <c r="L39" s="12"/>
      <c r="M39" s="21" t="s">
        <v>178</v>
      </c>
      <c r="N39" s="16">
        <v>6.084E-3</v>
      </c>
      <c r="O39" s="16">
        <v>6.084E-3</v>
      </c>
    </row>
    <row r="40" spans="2:15" ht="15.75">
      <c r="B40" s="223" t="s">
        <v>151</v>
      </c>
      <c r="C40" s="224" t="s">
        <v>271</v>
      </c>
      <c r="D40" s="242"/>
      <c r="E40" s="243"/>
      <c r="F40" s="243"/>
      <c r="G40" s="241"/>
      <c r="H40" s="227">
        <f>SUM(H31:H39)</f>
        <v>0</v>
      </c>
      <c r="I40" s="228">
        <f>SUM(I31:I39)</f>
        <v>0</v>
      </c>
      <c r="J40" s="228">
        <f>SUM(J31:J39)</f>
        <v>0</v>
      </c>
      <c r="K40" s="229">
        <f>SUM(K31:K39)</f>
        <v>0</v>
      </c>
      <c r="L40" s="13"/>
      <c r="M40" s="23"/>
      <c r="O40" s="16"/>
    </row>
    <row r="41" spans="2:15" ht="15.75">
      <c r="B41" s="247"/>
      <c r="C41" s="216"/>
      <c r="D41" s="242"/>
      <c r="E41" s="243"/>
      <c r="F41" s="243"/>
      <c r="G41" s="241"/>
      <c r="H41" s="220"/>
      <c r="I41" s="221"/>
      <c r="J41" s="221"/>
      <c r="K41" s="222"/>
      <c r="L41" s="14"/>
      <c r="M41" s="22"/>
      <c r="O41" s="16"/>
    </row>
    <row r="42" spans="2:15" ht="15.75">
      <c r="B42" s="233" t="s">
        <v>260</v>
      </c>
      <c r="C42" s="234"/>
      <c r="D42" s="244"/>
      <c r="E42" s="245"/>
      <c r="F42" s="245"/>
      <c r="G42" s="246"/>
      <c r="H42" s="236"/>
      <c r="I42" s="237"/>
      <c r="J42" s="237"/>
      <c r="K42" s="238"/>
      <c r="L42" s="11"/>
      <c r="M42" s="20"/>
      <c r="O42" s="16"/>
    </row>
    <row r="43" spans="2:15" ht="15.75">
      <c r="B43" s="247" t="s">
        <v>154</v>
      </c>
      <c r="C43" s="216" t="s">
        <v>147</v>
      </c>
      <c r="D43" s="239"/>
      <c r="E43" s="240"/>
      <c r="F43" s="240"/>
      <c r="G43" s="241" t="str">
        <f t="shared" ref="G43:G52" si="12">IF(CONCATENATE(D43,E43,F43)="","",SUM(D43:F43))</f>
        <v/>
      </c>
      <c r="H43" s="220" t="str">
        <f>IF(D43="","",IF($C43="kg",D43*$N43/1000,D43*$N43))</f>
        <v/>
      </c>
      <c r="I43" s="221" t="str">
        <f>IF(E43="","",IF($C43="kg",E43*$N43/1000,E43*$N43))</f>
        <v/>
      </c>
      <c r="J43" s="221" t="str">
        <f>IF(F43="","",IF($C43="kg",F43*$N43/1000,F43*$N43))</f>
        <v/>
      </c>
      <c r="K43" s="222" t="str">
        <f>IF(CONCATENATE(H43,I43,J43)="","",SUM(H43:J43))</f>
        <v/>
      </c>
      <c r="L43" s="12"/>
      <c r="M43" s="21" t="s">
        <v>174</v>
      </c>
      <c r="N43" s="16">
        <v>2.38761</v>
      </c>
      <c r="O43" s="16">
        <v>2.38761</v>
      </c>
    </row>
    <row r="44" spans="2:15" ht="15.75">
      <c r="B44" s="247" t="s">
        <v>137</v>
      </c>
      <c r="C44" s="216" t="s">
        <v>147</v>
      </c>
      <c r="D44" s="239"/>
      <c r="E44" s="240"/>
      <c r="F44" s="240"/>
      <c r="G44" s="241" t="str">
        <f t="shared" si="12"/>
        <v/>
      </c>
      <c r="H44" s="220" t="str">
        <f t="shared" ref="H44:H52" si="13">IF(D44="","",IF($C44="kg",D44*$N44/1000,D44*$N44))</f>
        <v/>
      </c>
      <c r="I44" s="221" t="str">
        <f t="shared" ref="I44:I53" si="14">IF(E44="","",IF($C44="kg",E44*$N44/1000,E44*$N44))</f>
        <v/>
      </c>
      <c r="J44" s="221" t="str">
        <f t="shared" ref="J44:J53" si="15">IF(F44="","",IF($C44="kg",F44*$N44/1000,F44*$N44))</f>
        <v/>
      </c>
      <c r="K44" s="222" t="str">
        <f t="shared" ref="K44:K52" si="16">IF(CONCATENATE(H44,I44,J44)="","",SUM(H44:J44))</f>
        <v/>
      </c>
      <c r="L44" s="12"/>
      <c r="M44" s="21" t="s">
        <v>174</v>
      </c>
      <c r="N44" s="16">
        <v>0.94972200000000007</v>
      </c>
      <c r="O44" s="16">
        <v>0.94972200000000007</v>
      </c>
    </row>
    <row r="45" spans="2:15" ht="15.75">
      <c r="B45" s="247" t="s">
        <v>138</v>
      </c>
      <c r="C45" s="216" t="s">
        <v>147</v>
      </c>
      <c r="D45" s="239"/>
      <c r="E45" s="240"/>
      <c r="F45" s="240"/>
      <c r="G45" s="241" t="str">
        <f t="shared" si="12"/>
        <v/>
      </c>
      <c r="H45" s="220" t="str">
        <f t="shared" si="13"/>
        <v/>
      </c>
      <c r="I45" s="221" t="str">
        <f t="shared" si="14"/>
        <v/>
      </c>
      <c r="J45" s="221" t="str">
        <f t="shared" si="15"/>
        <v/>
      </c>
      <c r="K45" s="222" t="str">
        <f t="shared" si="16"/>
        <v/>
      </c>
      <c r="L45" s="12"/>
      <c r="M45" s="21" t="s">
        <v>174</v>
      </c>
      <c r="N45" s="16">
        <v>2.7065999999999999</v>
      </c>
      <c r="O45" s="16">
        <v>2.7065999999999999</v>
      </c>
    </row>
    <row r="46" spans="2:15" ht="15.75">
      <c r="B46" s="247" t="s">
        <v>139</v>
      </c>
      <c r="C46" s="216" t="s">
        <v>147</v>
      </c>
      <c r="D46" s="239"/>
      <c r="E46" s="240"/>
      <c r="F46" s="240"/>
      <c r="G46" s="241" t="str">
        <f t="shared" si="12"/>
        <v/>
      </c>
      <c r="H46" s="220" t="str">
        <f t="shared" si="13"/>
        <v/>
      </c>
      <c r="I46" s="221" t="str">
        <f t="shared" si="14"/>
        <v/>
      </c>
      <c r="J46" s="221" t="str">
        <f t="shared" si="15"/>
        <v/>
      </c>
      <c r="K46" s="222" t="str">
        <f t="shared" si="16"/>
        <v/>
      </c>
      <c r="L46" s="12"/>
      <c r="M46" s="21" t="s">
        <v>174</v>
      </c>
      <c r="N46" s="16">
        <v>2.0698859999999999</v>
      </c>
      <c r="O46" s="16">
        <v>2.0698859999999999</v>
      </c>
    </row>
    <row r="47" spans="2:15" ht="12.75" customHeight="1">
      <c r="B47" s="247" t="s">
        <v>155</v>
      </c>
      <c r="C47" s="216" t="s">
        <v>147</v>
      </c>
      <c r="D47" s="239"/>
      <c r="E47" s="240"/>
      <c r="F47" s="240"/>
      <c r="G47" s="241" t="str">
        <f t="shared" si="12"/>
        <v/>
      </c>
      <c r="H47" s="220" t="str">
        <f t="shared" si="13"/>
        <v/>
      </c>
      <c r="I47" s="221" t="str">
        <f t="shared" si="14"/>
        <v/>
      </c>
      <c r="J47" s="221" t="str">
        <f t="shared" si="15"/>
        <v/>
      </c>
      <c r="K47" s="222" t="str">
        <f t="shared" si="16"/>
        <v/>
      </c>
      <c r="L47" s="12"/>
      <c r="M47" s="21" t="s">
        <v>174</v>
      </c>
      <c r="N47" s="16">
        <v>2.1071559999999998</v>
      </c>
      <c r="O47" s="16">
        <v>2.1071559999999998</v>
      </c>
    </row>
    <row r="48" spans="2:15" ht="15.75">
      <c r="B48" s="247" t="s">
        <v>156</v>
      </c>
      <c r="C48" s="216" t="s">
        <v>147</v>
      </c>
      <c r="D48" s="239"/>
      <c r="E48" s="240"/>
      <c r="F48" s="240"/>
      <c r="G48" s="241" t="str">
        <f t="shared" si="12"/>
        <v/>
      </c>
      <c r="H48" s="220" t="str">
        <f t="shared" si="13"/>
        <v/>
      </c>
      <c r="I48" s="221" t="str">
        <f t="shared" si="14"/>
        <v/>
      </c>
      <c r="J48" s="221" t="str">
        <f t="shared" si="15"/>
        <v/>
      </c>
      <c r="K48" s="222" t="str">
        <f t="shared" si="16"/>
        <v/>
      </c>
      <c r="L48" s="12"/>
      <c r="M48" s="21" t="s">
        <v>174</v>
      </c>
      <c r="N48" s="16">
        <v>0.91559999999999997</v>
      </c>
      <c r="O48" s="16">
        <v>0.91559999999999997</v>
      </c>
    </row>
    <row r="49" spans="2:15" ht="15.75">
      <c r="B49" s="247" t="s">
        <v>157</v>
      </c>
      <c r="C49" s="216" t="s">
        <v>147</v>
      </c>
      <c r="D49" s="239"/>
      <c r="E49" s="240"/>
      <c r="F49" s="240"/>
      <c r="G49" s="241" t="str">
        <f>IF(CONCATENATE(D49,E49,F49)="","",SUM(D49:F49))</f>
        <v/>
      </c>
      <c r="H49" s="220" t="str">
        <f t="shared" si="13"/>
        <v/>
      </c>
      <c r="I49" s="221" t="str">
        <f t="shared" si="14"/>
        <v/>
      </c>
      <c r="J49" s="221" t="str">
        <f t="shared" si="15"/>
        <v/>
      </c>
      <c r="K49" s="222" t="str">
        <f t="shared" si="16"/>
        <v/>
      </c>
      <c r="L49" s="12"/>
      <c r="M49" s="21" t="s">
        <v>174</v>
      </c>
      <c r="N49" s="16">
        <v>2.1959999999999997E-2</v>
      </c>
      <c r="O49" s="16">
        <v>2.1959999999999997E-2</v>
      </c>
    </row>
    <row r="50" spans="2:15" ht="15.75">
      <c r="B50" s="247" t="s">
        <v>158</v>
      </c>
      <c r="C50" s="216" t="s">
        <v>147</v>
      </c>
      <c r="D50" s="239"/>
      <c r="E50" s="240"/>
      <c r="F50" s="240"/>
      <c r="G50" s="241" t="str">
        <f t="shared" si="12"/>
        <v/>
      </c>
      <c r="H50" s="220" t="str">
        <f t="shared" si="13"/>
        <v/>
      </c>
      <c r="I50" s="221" t="str">
        <f t="shared" si="14"/>
        <v/>
      </c>
      <c r="J50" s="221" t="str">
        <f t="shared" si="15"/>
        <v/>
      </c>
      <c r="K50" s="222" t="str">
        <f t="shared" si="16"/>
        <v/>
      </c>
      <c r="L50" s="12"/>
      <c r="M50" s="21" t="s">
        <v>174</v>
      </c>
      <c r="N50" s="16">
        <v>2.0736000000000001E-2</v>
      </c>
      <c r="O50" s="16">
        <v>2.0736000000000001E-2</v>
      </c>
    </row>
    <row r="51" spans="2:15" ht="15.75">
      <c r="B51" s="247" t="s">
        <v>159</v>
      </c>
      <c r="C51" s="216" t="s">
        <v>147</v>
      </c>
      <c r="D51" s="239"/>
      <c r="E51" s="240"/>
      <c r="F51" s="240"/>
      <c r="G51" s="241" t="str">
        <f t="shared" si="12"/>
        <v/>
      </c>
      <c r="H51" s="220" t="str">
        <f t="shared" si="13"/>
        <v/>
      </c>
      <c r="I51" s="221" t="str">
        <f t="shared" si="14"/>
        <v/>
      </c>
      <c r="J51" s="221" t="str">
        <f t="shared" si="15"/>
        <v/>
      </c>
      <c r="K51" s="222" t="str">
        <f t="shared" si="16"/>
        <v/>
      </c>
      <c r="L51" s="12"/>
      <c r="M51" s="21" t="s">
        <v>174</v>
      </c>
      <c r="N51" s="16">
        <v>1.3312000000000001E-2</v>
      </c>
      <c r="O51" s="16">
        <v>1.3312000000000001E-2</v>
      </c>
    </row>
    <row r="52" spans="2:15" ht="15.75">
      <c r="B52" s="247" t="s">
        <v>140</v>
      </c>
      <c r="C52" s="216" t="s">
        <v>147</v>
      </c>
      <c r="D52" s="239"/>
      <c r="E52" s="240"/>
      <c r="F52" s="240"/>
      <c r="G52" s="241" t="str">
        <f t="shared" si="12"/>
        <v/>
      </c>
      <c r="H52" s="220" t="str">
        <f t="shared" si="13"/>
        <v/>
      </c>
      <c r="I52" s="221" t="str">
        <f t="shared" si="14"/>
        <v/>
      </c>
      <c r="J52" s="221" t="str">
        <f t="shared" si="15"/>
        <v/>
      </c>
      <c r="K52" s="222" t="str">
        <f t="shared" si="16"/>
        <v/>
      </c>
      <c r="L52" s="12"/>
      <c r="M52" s="21" t="s">
        <v>174</v>
      </c>
      <c r="N52" s="16">
        <v>1.4399999999999998E-2</v>
      </c>
      <c r="O52" s="16">
        <v>1.4399999999999998E-2</v>
      </c>
    </row>
    <row r="53" spans="2:15" ht="15.75">
      <c r="B53" s="247" t="s">
        <v>141</v>
      </c>
      <c r="C53" s="216" t="s">
        <v>147</v>
      </c>
      <c r="D53" s="239"/>
      <c r="E53" s="240"/>
      <c r="F53" s="240"/>
      <c r="G53" s="241" t="str">
        <f>IF(CONCATENATE(D53,E53,F53)="","",SUM(D53:F53))</f>
        <v/>
      </c>
      <c r="H53" s="220" t="str">
        <f>IF(D53="","",IF($C53="kg",D53*$N53/1000,D53*$N53))</f>
        <v/>
      </c>
      <c r="I53" s="221" t="str">
        <f t="shared" si="14"/>
        <v/>
      </c>
      <c r="J53" s="221" t="str">
        <f t="shared" si="15"/>
        <v/>
      </c>
      <c r="K53" s="222" t="str">
        <f>IF(CONCATENATE(H53,I53,J53)="","",SUM(H53:J53))</f>
        <v/>
      </c>
      <c r="L53" s="12"/>
      <c r="M53" s="21" t="s">
        <v>174</v>
      </c>
      <c r="N53" s="16">
        <v>0.16172</v>
      </c>
      <c r="O53" s="16">
        <v>0.16172</v>
      </c>
    </row>
    <row r="54" spans="2:15" ht="15.75">
      <c r="B54" s="223" t="s">
        <v>151</v>
      </c>
      <c r="C54" s="224" t="s">
        <v>271</v>
      </c>
      <c r="D54" s="242"/>
      <c r="E54" s="243"/>
      <c r="F54" s="243"/>
      <c r="G54" s="241"/>
      <c r="H54" s="227">
        <f>SUM(H43:H53)</f>
        <v>0</v>
      </c>
      <c r="I54" s="228">
        <f>SUM(I43:I53)</f>
        <v>0</v>
      </c>
      <c r="J54" s="228">
        <f>SUM(J43:J53)</f>
        <v>0</v>
      </c>
      <c r="K54" s="229">
        <f>SUM(K43:K53)</f>
        <v>0</v>
      </c>
      <c r="L54" s="13"/>
      <c r="M54" s="23"/>
      <c r="O54" s="16"/>
    </row>
    <row r="55" spans="2:15" ht="15.75">
      <c r="B55" s="247"/>
      <c r="C55" s="216"/>
      <c r="D55" s="242"/>
      <c r="E55" s="243"/>
      <c r="F55" s="243"/>
      <c r="G55" s="241"/>
      <c r="H55" s="220"/>
      <c r="I55" s="221"/>
      <c r="J55" s="221"/>
      <c r="K55" s="222"/>
      <c r="L55" s="14"/>
      <c r="M55" s="22"/>
      <c r="O55" s="16"/>
    </row>
    <row r="56" spans="2:15" ht="15.75">
      <c r="B56" s="233" t="s">
        <v>261</v>
      </c>
      <c r="C56" s="234"/>
      <c r="D56" s="244"/>
      <c r="E56" s="245"/>
      <c r="F56" s="245"/>
      <c r="G56" s="246"/>
      <c r="H56" s="236"/>
      <c r="I56" s="237"/>
      <c r="J56" s="237"/>
      <c r="K56" s="238"/>
      <c r="L56" s="11"/>
      <c r="M56" s="20"/>
      <c r="O56" s="16"/>
    </row>
    <row r="57" spans="2:15" ht="18.75">
      <c r="B57" s="247" t="s">
        <v>160</v>
      </c>
      <c r="C57" s="216" t="s">
        <v>51</v>
      </c>
      <c r="D57" s="239"/>
      <c r="E57" s="240"/>
      <c r="F57" s="240"/>
      <c r="G57" s="241" t="str">
        <f>IF(CONCATENATE(D57,E57,F57)="","",SUM(D57:F57))</f>
        <v/>
      </c>
      <c r="H57" s="220" t="str">
        <f t="shared" ref="H57:J59" si="17">IF(D57="","",D57*$N57)</f>
        <v/>
      </c>
      <c r="I57" s="221" t="str">
        <f t="shared" si="17"/>
        <v/>
      </c>
      <c r="J57" s="221" t="str">
        <f t="shared" si="17"/>
        <v/>
      </c>
      <c r="K57" s="222" t="str">
        <f>IF(CONCATENATE(H57,I57,J57)="","",SUM(H57:J57))</f>
        <v/>
      </c>
      <c r="L57" s="12"/>
      <c r="M57" s="21" t="s">
        <v>175</v>
      </c>
      <c r="N57" s="16">
        <v>1.935141E-3</v>
      </c>
      <c r="O57" s="16">
        <v>1.935141E-3</v>
      </c>
    </row>
    <row r="58" spans="2:15" ht="18.75">
      <c r="B58" s="247" t="s">
        <v>161</v>
      </c>
      <c r="C58" s="216" t="s">
        <v>51</v>
      </c>
      <c r="D58" s="239"/>
      <c r="E58" s="240"/>
      <c r="F58" s="240"/>
      <c r="G58" s="241" t="str">
        <f>IF(CONCATENATE(D58,E58,F58)="","",SUM(D58:F58))</f>
        <v/>
      </c>
      <c r="H58" s="220" t="str">
        <f t="shared" si="17"/>
        <v/>
      </c>
      <c r="I58" s="221" t="str">
        <f t="shared" si="17"/>
        <v/>
      </c>
      <c r="J58" s="221" t="str">
        <f t="shared" si="17"/>
        <v/>
      </c>
      <c r="K58" s="222" t="str">
        <f>IF(CONCATENATE(H58,I58,J58)="","",SUM(H58:J58))</f>
        <v/>
      </c>
      <c r="L58" s="12"/>
      <c r="M58" s="21" t="s">
        <v>175</v>
      </c>
      <c r="N58" s="16">
        <v>2.1349509999999999E-3</v>
      </c>
      <c r="O58" s="16">
        <v>2.1349509999999999E-3</v>
      </c>
    </row>
    <row r="59" spans="2:15" ht="18.75">
      <c r="B59" s="247" t="s">
        <v>142</v>
      </c>
      <c r="C59" s="216" t="s">
        <v>51</v>
      </c>
      <c r="D59" s="239"/>
      <c r="E59" s="240"/>
      <c r="F59" s="240"/>
      <c r="G59" s="241" t="str">
        <f>IF(CONCATENATE(D59,E59,F59)="","",SUM(D59:F59))</f>
        <v/>
      </c>
      <c r="H59" s="220" t="str">
        <f t="shared" si="17"/>
        <v/>
      </c>
      <c r="I59" s="221" t="str">
        <f t="shared" si="17"/>
        <v/>
      </c>
      <c r="J59" s="221" t="str">
        <f t="shared" si="17"/>
        <v/>
      </c>
      <c r="K59" s="222" t="str">
        <f>IF(CONCATENATE(H59,I59,J59)="","",SUM(H59:J59))</f>
        <v/>
      </c>
      <c r="L59" s="12"/>
      <c r="M59" s="21" t="s">
        <v>175</v>
      </c>
      <c r="N59" s="16">
        <v>2.3384399999999998E-3</v>
      </c>
      <c r="O59" s="16">
        <v>2.3384399999999998E-3</v>
      </c>
    </row>
    <row r="60" spans="2:15" ht="15.75">
      <c r="B60" s="247" t="s">
        <v>143</v>
      </c>
      <c r="C60" s="216" t="s">
        <v>131</v>
      </c>
      <c r="D60" s="239"/>
      <c r="E60" s="240"/>
      <c r="F60" s="240"/>
      <c r="G60" s="241" t="str">
        <f>IF(CONCATENATE(D60,E60,F60)="","",SUM(D60:F60))</f>
        <v/>
      </c>
      <c r="H60" s="220" t="str">
        <f>IF(D60="","",IF($C60="L",D60*$N60/1000,D60*$N60))</f>
        <v/>
      </c>
      <c r="I60" s="221" t="str">
        <f>IF(E60="","",IF($C60="L",E60*$N60/1000,E60*$N60))</f>
        <v/>
      </c>
      <c r="J60" s="221" t="str">
        <f>IF(F60="","",IF($C60="L",F60*$N60/1000,F60*$N60))</f>
        <v/>
      </c>
      <c r="K60" s="222" t="str">
        <f>IF(CONCATENATE(H60,I60,J60)="","",SUM(H60:J60))</f>
        <v/>
      </c>
      <c r="L60" s="12"/>
      <c r="M60" s="21" t="s">
        <v>175</v>
      </c>
      <c r="N60" s="16">
        <v>1.2986490000000002</v>
      </c>
      <c r="O60" s="16">
        <v>1.2986490000000002</v>
      </c>
    </row>
    <row r="61" spans="2:15" ht="18.75">
      <c r="B61" s="247" t="s">
        <v>162</v>
      </c>
      <c r="C61" s="216" t="s">
        <v>51</v>
      </c>
      <c r="D61" s="239"/>
      <c r="E61" s="240"/>
      <c r="F61" s="240"/>
      <c r="G61" s="241" t="str">
        <f>IF(CONCATENATE(D61,E61,F61)="","",SUM(D61:F61))</f>
        <v/>
      </c>
      <c r="H61" s="220" t="str">
        <f>IF(D61="","",D61*$N61)</f>
        <v/>
      </c>
      <c r="I61" s="221" t="str">
        <f>IF(E61="","",E61*$N61)</f>
        <v/>
      </c>
      <c r="J61" s="221" t="str">
        <f>IF(F61="","",F61*$N61)</f>
        <v/>
      </c>
      <c r="K61" s="222" t="str">
        <f>IF(CONCATENATE(H61,I61,J61)="","",SUM(H61:J61))</f>
        <v/>
      </c>
      <c r="L61" s="12"/>
      <c r="M61" s="21" t="s">
        <v>175</v>
      </c>
      <c r="N61" s="16">
        <v>1.82091E-4</v>
      </c>
      <c r="O61" s="16">
        <v>1.82091E-4</v>
      </c>
    </row>
    <row r="62" spans="2:15" ht="15.75">
      <c r="B62" s="223" t="s">
        <v>151</v>
      </c>
      <c r="C62" s="224" t="s">
        <v>271</v>
      </c>
      <c r="D62" s="242"/>
      <c r="E62" s="243"/>
      <c r="F62" s="243"/>
      <c r="G62" s="241"/>
      <c r="H62" s="227">
        <f>SUM(H57:H61)</f>
        <v>0</v>
      </c>
      <c r="I62" s="228">
        <f>SUM(I57:I61)</f>
        <v>0</v>
      </c>
      <c r="J62" s="228">
        <f>SUM(J57:J61)</f>
        <v>0</v>
      </c>
      <c r="K62" s="229">
        <f>SUM(K57:K61)</f>
        <v>0</v>
      </c>
      <c r="L62" s="13"/>
      <c r="M62" s="23"/>
      <c r="O62" s="16"/>
    </row>
    <row r="63" spans="2:15" ht="15.75">
      <c r="B63" s="247"/>
      <c r="C63" s="216"/>
      <c r="D63" s="242"/>
      <c r="E63" s="243"/>
      <c r="F63" s="243"/>
      <c r="G63" s="241"/>
      <c r="H63" s="220"/>
      <c r="I63" s="221"/>
      <c r="J63" s="221"/>
      <c r="K63" s="222"/>
      <c r="L63" s="14"/>
      <c r="M63" s="22"/>
      <c r="O63" s="16"/>
    </row>
    <row r="64" spans="2:15" ht="15.75">
      <c r="B64" s="233" t="s">
        <v>262</v>
      </c>
      <c r="C64" s="234"/>
      <c r="D64" s="244"/>
      <c r="E64" s="245"/>
      <c r="F64" s="245"/>
      <c r="G64" s="246"/>
      <c r="H64" s="236"/>
      <c r="I64" s="237"/>
      <c r="J64" s="237"/>
      <c r="K64" s="238"/>
      <c r="L64" s="11"/>
      <c r="M64" s="20"/>
      <c r="O64" s="16"/>
    </row>
    <row r="65" spans="2:15" ht="15.75">
      <c r="B65" s="248" t="s">
        <v>88</v>
      </c>
      <c r="C65" s="216" t="s">
        <v>147</v>
      </c>
      <c r="D65" s="242"/>
      <c r="E65" s="249"/>
      <c r="F65" s="243"/>
      <c r="G65" s="241" t="str">
        <f>IF(CONCATENATE(D65,E65,F65)="","",SUM(D65:F65))</f>
        <v/>
      </c>
      <c r="H65" s="220"/>
      <c r="I65" s="250"/>
      <c r="J65" s="221"/>
      <c r="K65" s="222" t="str">
        <f>IF(CONCATENATE(H65,I65,J65)="","",SUM(H65:J65))</f>
        <v/>
      </c>
      <c r="L65" s="12"/>
      <c r="M65" s="21"/>
      <c r="O65" s="16"/>
    </row>
    <row r="66" spans="2:15" ht="15.75">
      <c r="B66" s="223" t="s">
        <v>151</v>
      </c>
      <c r="C66" s="224" t="s">
        <v>271</v>
      </c>
      <c r="D66" s="242"/>
      <c r="E66" s="249"/>
      <c r="F66" s="243"/>
      <c r="G66" s="241"/>
      <c r="H66" s="227"/>
      <c r="I66" s="228">
        <f>SUM(I65)</f>
        <v>0</v>
      </c>
      <c r="J66" s="228"/>
      <c r="K66" s="229">
        <f>SUM(K65)</f>
        <v>0</v>
      </c>
      <c r="L66" s="13"/>
      <c r="M66" s="23"/>
      <c r="O66" s="16"/>
    </row>
    <row r="67" spans="2:15" ht="15.75">
      <c r="B67" s="247"/>
      <c r="C67" s="216"/>
      <c r="D67" s="242"/>
      <c r="E67" s="249"/>
      <c r="F67" s="243"/>
      <c r="G67" s="241" t="str">
        <f>IF(CONCATENATE(D67,E67,F67)="","",SUM(D67:F67))</f>
        <v/>
      </c>
      <c r="H67" s="220" t="str">
        <f>IF(D67="","",D67*$N67)</f>
        <v/>
      </c>
      <c r="I67" s="221" t="str">
        <f>IF(E67="","",E67*$N67)</f>
        <v/>
      </c>
      <c r="J67" s="221" t="str">
        <f>IF(F67="","",F67*$N67)</f>
        <v/>
      </c>
      <c r="K67" s="222" t="str">
        <f>IF(CONCATENATE(H67,I67,J67)="","",SUM(H67:J67))</f>
        <v/>
      </c>
      <c r="L67" s="12"/>
      <c r="M67" s="21"/>
      <c r="O67" s="16"/>
    </row>
    <row r="68" spans="2:15" ht="15.75">
      <c r="B68" s="233" t="s">
        <v>152</v>
      </c>
      <c r="C68" s="234"/>
      <c r="D68" s="244"/>
      <c r="E68" s="245"/>
      <c r="F68" s="245"/>
      <c r="G68" s="246"/>
      <c r="H68" s="236"/>
      <c r="I68" s="237"/>
      <c r="J68" s="237"/>
      <c r="K68" s="238"/>
      <c r="L68" s="11"/>
      <c r="M68" s="20"/>
      <c r="O68" s="16"/>
    </row>
    <row r="69" spans="2:15" ht="15.75">
      <c r="B69" s="247" t="s">
        <v>153</v>
      </c>
      <c r="C69" s="216" t="s">
        <v>147</v>
      </c>
      <c r="D69" s="242"/>
      <c r="E69" s="243"/>
      <c r="F69" s="240"/>
      <c r="G69" s="241" t="str">
        <f>IF(CONCATENATE(D69,E69,F69)="","",SUM(D69:F69))</f>
        <v/>
      </c>
      <c r="H69" s="220"/>
      <c r="I69" s="221"/>
      <c r="J69" s="221" t="str">
        <f>IF(F69="","",IF($C69="kg",F69*$N69/1000,F69*$N69))</f>
        <v/>
      </c>
      <c r="K69" s="222" t="str">
        <f>IF(CONCATENATE(H69,I69,J69)="","",SUM(H69:J69))</f>
        <v/>
      </c>
      <c r="L69" s="12"/>
      <c r="M69" s="21"/>
      <c r="N69" s="16">
        <v>3.67</v>
      </c>
      <c r="O69" s="16">
        <v>3.67</v>
      </c>
    </row>
    <row r="70" spans="2:15" ht="15.75">
      <c r="B70" s="223" t="s">
        <v>151</v>
      </c>
      <c r="C70" s="224" t="s">
        <v>271</v>
      </c>
      <c r="D70" s="242"/>
      <c r="E70" s="243"/>
      <c r="F70" s="243"/>
      <c r="G70" s="241"/>
      <c r="H70" s="227"/>
      <c r="I70" s="228"/>
      <c r="J70" s="228">
        <f>SUM(J69:J69)</f>
        <v>0</v>
      </c>
      <c r="K70" s="229">
        <f>SUM(K69:K69)</f>
        <v>0</v>
      </c>
      <c r="L70" s="13"/>
      <c r="M70" s="23"/>
    </row>
    <row r="71" spans="2:15" ht="15.75">
      <c r="B71" s="247"/>
      <c r="C71" s="216"/>
      <c r="D71" s="242"/>
      <c r="E71" s="243"/>
      <c r="F71" s="243"/>
      <c r="G71" s="241"/>
      <c r="H71" s="220"/>
      <c r="I71" s="221"/>
      <c r="J71" s="221"/>
      <c r="K71" s="222"/>
      <c r="L71" s="14"/>
      <c r="M71" s="22"/>
    </row>
    <row r="72" spans="2:15" ht="16.5" thickBot="1">
      <c r="B72" s="251" t="s">
        <v>197</v>
      </c>
      <c r="C72" s="252" t="s">
        <v>271</v>
      </c>
      <c r="D72" s="253"/>
      <c r="E72" s="254"/>
      <c r="F72" s="254"/>
      <c r="G72" s="255"/>
      <c r="H72" s="256">
        <f>H17+H28+H40+H54+H62</f>
        <v>0</v>
      </c>
      <c r="I72" s="257">
        <f>I17+I28+I40+I54+I62+I66</f>
        <v>0</v>
      </c>
      <c r="J72" s="257">
        <f>J17+J28+J40+J54+J62+J70</f>
        <v>0</v>
      </c>
      <c r="K72" s="258">
        <f>K17+K28+K40+K54+K62+K66+K70</f>
        <v>0</v>
      </c>
      <c r="L72" s="13"/>
      <c r="M72" s="23"/>
    </row>
    <row r="73" spans="2:15" ht="15.75">
      <c r="B73" s="259" t="s">
        <v>52</v>
      </c>
      <c r="C73" s="260"/>
      <c r="D73" s="260"/>
      <c r="E73" s="260"/>
      <c r="F73" s="260"/>
      <c r="G73" s="261"/>
      <c r="H73" s="260"/>
      <c r="I73" s="260"/>
      <c r="J73" s="260"/>
      <c r="K73" s="260"/>
    </row>
  </sheetData>
  <sheetProtection password="D286" sheet="1" objects="1" scenarios="1" selectLockedCells="1"/>
  <mergeCells count="5">
    <mergeCell ref="D3:K3"/>
    <mergeCell ref="H10:K10"/>
    <mergeCell ref="D10:G10"/>
    <mergeCell ref="B10:B12"/>
    <mergeCell ref="C10:C12"/>
  </mergeCells>
  <phoneticPr fontId="2" type="noConversion"/>
  <dataValidations count="2">
    <dataValidation type="list" allowBlank="1" showInputMessage="1" showErrorMessage="1" sqref="C69 C43:C53">
      <formula1>"kg,t"</formula1>
    </dataValidation>
    <dataValidation type="list" allowBlank="1" showInputMessage="1" showErrorMessage="1" sqref="C60 C20:C27 C31:C39">
      <formula1>"L,kL"</formula1>
    </dataValidation>
  </dataValidations>
  <pageMargins left="0.17" right="0.28000000000000003" top="0.5" bottom="0.49" header="0.5" footer="0.5"/>
  <pageSetup paperSize="9" scale="62" orientation="portrait" useFirstPageNumber="1" r:id="rId1"/>
  <headerFooter alignWithMargins="0">
    <oddFooter>&amp;C&amp;12Emissions</oddFooter>
  </headerFooter>
  <legacyDrawing r:id="rId2"/>
</worksheet>
</file>

<file path=xl/worksheets/sheet4.xml><?xml version="1.0" encoding="utf-8"?>
<worksheet xmlns="http://schemas.openxmlformats.org/spreadsheetml/2006/main" xmlns:r="http://schemas.openxmlformats.org/officeDocument/2006/relationships">
  <sheetPr codeName="Sheet4" enableFormatConditionsCalculation="0">
    <tabColor indexed="52"/>
  </sheetPr>
  <dimension ref="A1:U120"/>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91</v>
      </c>
      <c r="C3" s="432"/>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0</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c r="M12" s="263"/>
      <c r="N12" s="195">
        <f>IF(ISNUMBER(L10),L10*1000000/240/365,L12)</f>
        <v>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0</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0</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0</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0</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0</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0</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0</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4" t="s">
        <v>12</v>
      </c>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4</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0</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thickBot="1">
      <c r="A60" s="290"/>
      <c r="B60" s="291"/>
      <c r="C60" s="291"/>
      <c r="D60" s="292"/>
      <c r="E60" s="292"/>
      <c r="F60" s="292"/>
      <c r="G60" s="292"/>
      <c r="H60" s="292"/>
      <c r="I60" s="292"/>
      <c r="J60" s="292"/>
      <c r="K60" s="293"/>
      <c r="L60" s="184"/>
      <c r="M60" s="294"/>
      <c r="N60" s="306"/>
      <c r="O60" s="292"/>
      <c r="P60" s="45"/>
      <c r="Q60" s="45"/>
      <c r="R60" s="45"/>
      <c r="S60" s="44"/>
    </row>
    <row r="61" spans="1:19" ht="12.75" customHeight="1">
      <c r="A61" s="137"/>
      <c r="B61" s="42"/>
      <c r="C61" s="42"/>
      <c r="D61" s="45"/>
      <c r="E61" s="45"/>
      <c r="F61" s="45"/>
      <c r="G61" s="45"/>
      <c r="H61" s="45"/>
      <c r="I61" s="45"/>
      <c r="J61" s="45"/>
      <c r="L61" s="7"/>
      <c r="M61" s="154"/>
      <c r="N61" s="162"/>
      <c r="O61" s="45"/>
      <c r="P61" s="45"/>
      <c r="Q61" s="45"/>
      <c r="R61" s="45"/>
      <c r="S61" s="44"/>
    </row>
    <row r="62" spans="1:19" ht="12.75" customHeight="1">
      <c r="A62" s="137">
        <v>12</v>
      </c>
      <c r="B62" s="42" t="s">
        <v>377</v>
      </c>
      <c r="C62" s="42"/>
      <c r="D62" s="196" t="s">
        <v>379</v>
      </c>
      <c r="E62" s="45"/>
      <c r="F62" s="45"/>
      <c r="G62" s="45"/>
      <c r="H62" s="45"/>
      <c r="I62" s="45"/>
      <c r="J62" s="45"/>
      <c r="K62" s="45"/>
      <c r="L62" s="45"/>
      <c r="M62" s="45"/>
      <c r="N62" s="158">
        <f>N12*0.036*0.16</f>
        <v>0</v>
      </c>
      <c r="O62" s="45" t="s">
        <v>380</v>
      </c>
      <c r="P62" s="45"/>
      <c r="Q62" s="45"/>
      <c r="R62" s="45"/>
      <c r="S62" s="44"/>
    </row>
    <row r="63" spans="1:19" ht="12.75" customHeight="1">
      <c r="A63" s="137"/>
      <c r="B63" s="42"/>
      <c r="C63" s="42"/>
      <c r="D63" s="58"/>
      <c r="E63" s="45"/>
      <c r="F63" s="45"/>
      <c r="G63" s="45"/>
      <c r="H63" s="45"/>
      <c r="I63" s="45"/>
      <c r="J63" s="45"/>
      <c r="K63" s="45"/>
      <c r="L63" s="45"/>
      <c r="M63" s="45"/>
      <c r="N63" s="194"/>
      <c r="O63" s="45"/>
      <c r="P63" s="45"/>
      <c r="Q63" s="45"/>
      <c r="R63" s="45"/>
      <c r="S63" s="44"/>
    </row>
    <row r="64" spans="1:19" ht="12.75" customHeight="1">
      <c r="A64" s="137">
        <v>13</v>
      </c>
      <c r="B64" s="42" t="s">
        <v>381</v>
      </c>
      <c r="C64" s="42"/>
      <c r="D64" s="196" t="s">
        <v>5</v>
      </c>
      <c r="E64" s="45"/>
      <c r="F64" s="45"/>
      <c r="G64" s="45"/>
      <c r="H64" s="45"/>
      <c r="I64" s="45"/>
      <c r="J64" s="45"/>
      <c r="K64" s="45"/>
      <c r="L64" s="412">
        <f>N38</f>
        <v>0</v>
      </c>
      <c r="M64" s="45" t="s">
        <v>270</v>
      </c>
      <c r="N64" s="194"/>
      <c r="O64" s="45"/>
      <c r="P64" s="45"/>
      <c r="Q64" s="45"/>
      <c r="R64" s="45"/>
      <c r="S64" s="44"/>
    </row>
    <row r="65" spans="1:19" ht="2.25" customHeight="1">
      <c r="A65" s="137"/>
      <c r="B65" s="42"/>
      <c r="C65" s="42"/>
      <c r="D65" s="58"/>
      <c r="E65" s="45"/>
      <c r="F65" s="45"/>
      <c r="G65" s="45"/>
      <c r="H65" s="45"/>
      <c r="I65" s="45"/>
      <c r="J65" s="45"/>
      <c r="K65" s="45"/>
      <c r="L65" s="45"/>
      <c r="M65" s="45"/>
      <c r="N65" s="194"/>
      <c r="O65" s="45"/>
      <c r="P65" s="45"/>
      <c r="Q65" s="45"/>
      <c r="R65" s="45"/>
      <c r="S65" s="44"/>
    </row>
    <row r="66" spans="1:19" ht="12.75" customHeight="1">
      <c r="A66" s="137"/>
      <c r="B66" s="42"/>
      <c r="C66" s="42"/>
      <c r="D66" s="196" t="s">
        <v>33</v>
      </c>
      <c r="E66" s="45"/>
      <c r="F66" s="45"/>
      <c r="G66" s="45"/>
      <c r="H66" s="45"/>
      <c r="I66" s="45"/>
      <c r="J66" s="45"/>
      <c r="K66" s="45"/>
      <c r="L66" s="300" t="s">
        <v>395</v>
      </c>
      <c r="M66" s="45"/>
      <c r="N66" s="158">
        <f>IF(ISNUMBER(L64),L64*0.05,0)</f>
        <v>0</v>
      </c>
      <c r="O66" s="45" t="s">
        <v>380</v>
      </c>
      <c r="P66" s="45"/>
      <c r="Q66" s="45"/>
      <c r="R66" s="45"/>
      <c r="S66" s="44"/>
    </row>
    <row r="67" spans="1:19" ht="2.25" customHeight="1">
      <c r="A67" s="137"/>
      <c r="B67" s="42"/>
      <c r="C67" s="42"/>
      <c r="D67" s="58"/>
      <c r="E67" s="45"/>
      <c r="F67" s="45"/>
      <c r="G67" s="45"/>
      <c r="H67" s="45"/>
      <c r="I67" s="45"/>
      <c r="J67" s="45"/>
      <c r="K67" s="45"/>
      <c r="L67" s="300"/>
      <c r="M67" s="45"/>
      <c r="N67" s="194"/>
      <c r="O67" s="45"/>
      <c r="P67" s="45"/>
      <c r="Q67" s="45"/>
      <c r="R67" s="45"/>
      <c r="S67" s="44"/>
    </row>
    <row r="68" spans="1:19" ht="12.75" customHeight="1">
      <c r="A68" s="137"/>
      <c r="B68" s="42"/>
      <c r="C68" s="42"/>
      <c r="D68" s="196" t="s">
        <v>417</v>
      </c>
      <c r="E68" s="45"/>
      <c r="F68" s="45"/>
      <c r="G68" s="45"/>
      <c r="H68" s="45"/>
      <c r="I68" s="45"/>
      <c r="J68" s="45"/>
      <c r="K68" s="45"/>
      <c r="L68" s="300" t="s">
        <v>396</v>
      </c>
      <c r="M68" s="45"/>
      <c r="N68" s="158">
        <v>0</v>
      </c>
      <c r="O68" s="45" t="s">
        <v>380</v>
      </c>
      <c r="P68" s="45"/>
      <c r="Q68" s="45"/>
      <c r="R68" s="45"/>
      <c r="S68" s="44"/>
    </row>
    <row r="69" spans="1:19" ht="2.25" customHeight="1">
      <c r="A69" s="137"/>
      <c r="B69" s="42"/>
      <c r="C69" s="42"/>
      <c r="D69" s="59"/>
      <c r="E69" s="45"/>
      <c r="F69" s="45"/>
      <c r="G69" s="45"/>
      <c r="H69" s="45"/>
      <c r="I69" s="45"/>
      <c r="J69" s="45"/>
      <c r="K69" s="45"/>
      <c r="L69" s="300"/>
      <c r="M69" s="45"/>
      <c r="N69" s="194"/>
      <c r="O69" s="45"/>
      <c r="P69" s="45"/>
      <c r="Q69" s="45"/>
      <c r="R69" s="45"/>
      <c r="S69" s="44"/>
    </row>
    <row r="70" spans="1:19" ht="12.75" customHeight="1">
      <c r="A70" s="137"/>
      <c r="B70" s="42"/>
      <c r="C70" s="42"/>
      <c r="D70" s="196" t="s">
        <v>418</v>
      </c>
      <c r="E70" s="45"/>
      <c r="F70" s="45"/>
      <c r="G70" s="45"/>
      <c r="H70" s="45"/>
      <c r="I70" s="45"/>
      <c r="J70" s="45"/>
      <c r="K70" s="45"/>
      <c r="L70" s="300" t="s">
        <v>397</v>
      </c>
      <c r="M70" s="45"/>
      <c r="N70" s="158">
        <f>N66+N68</f>
        <v>0</v>
      </c>
      <c r="O70" s="45" t="s">
        <v>380</v>
      </c>
      <c r="P70" s="45"/>
      <c r="Q70" s="45"/>
      <c r="R70" s="45"/>
      <c r="S70" s="44"/>
    </row>
    <row r="71" spans="1:19" ht="12.75" customHeight="1">
      <c r="A71" s="137"/>
      <c r="B71" s="42"/>
      <c r="C71" s="42"/>
      <c r="D71" s="59"/>
      <c r="E71" s="45"/>
      <c r="F71" s="45"/>
      <c r="G71" s="45"/>
      <c r="H71" s="45"/>
      <c r="I71" s="45"/>
      <c r="J71" s="45"/>
      <c r="K71" s="45"/>
      <c r="L71" s="45"/>
      <c r="M71" s="45"/>
      <c r="N71" s="194"/>
      <c r="O71" s="45"/>
      <c r="P71" s="45"/>
      <c r="Q71" s="45"/>
      <c r="R71" s="45"/>
      <c r="S71" s="44"/>
    </row>
    <row r="72" spans="1:19" ht="12.75" customHeight="1">
      <c r="A72" s="137">
        <v>14</v>
      </c>
      <c r="B72" s="42" t="s">
        <v>398</v>
      </c>
      <c r="C72" s="42"/>
      <c r="D72" s="295" t="s">
        <v>3</v>
      </c>
      <c r="E72" s="45"/>
      <c r="F72" s="45"/>
      <c r="G72" s="45"/>
      <c r="H72" s="45"/>
      <c r="I72" s="45"/>
      <c r="J72" s="45"/>
      <c r="K72" s="45"/>
      <c r="L72" s="413">
        <f>SUM(N62,-N70,-L75,-L77)</f>
        <v>0</v>
      </c>
      <c r="M72" s="45" t="s">
        <v>380</v>
      </c>
      <c r="N72" s="194"/>
      <c r="O72" s="45"/>
      <c r="P72" s="45"/>
      <c r="Q72" s="45"/>
      <c r="R72" s="45"/>
      <c r="S72" s="44"/>
    </row>
    <row r="73" spans="1:19" ht="12.75" customHeight="1">
      <c r="A73" s="137"/>
      <c r="B73" s="42"/>
      <c r="C73" s="42"/>
      <c r="D73" s="59" t="s">
        <v>1</v>
      </c>
      <c r="E73" s="45"/>
      <c r="F73" s="45"/>
      <c r="G73" s="45"/>
      <c r="H73" s="45"/>
      <c r="I73" s="45"/>
      <c r="J73" s="45"/>
      <c r="K73" s="45"/>
      <c r="L73" s="300" t="s">
        <v>420</v>
      </c>
      <c r="M73" s="45"/>
      <c r="N73" s="158">
        <f>IF(L72&gt;1,L72,SUM(N62,-N70,-L75,-L77))</f>
        <v>0</v>
      </c>
      <c r="O73" s="45" t="s">
        <v>380</v>
      </c>
      <c r="P73" s="45"/>
      <c r="Q73" s="45"/>
      <c r="R73" s="45"/>
      <c r="S73" s="44"/>
    </row>
    <row r="74" spans="1:19" ht="2.25" customHeight="1">
      <c r="A74" s="137"/>
      <c r="B74" s="42"/>
      <c r="C74" s="42"/>
      <c r="D74" s="59"/>
      <c r="E74" s="45"/>
      <c r="F74" s="45"/>
      <c r="G74" s="45"/>
      <c r="H74" s="45"/>
      <c r="I74" s="45"/>
      <c r="J74" s="45"/>
      <c r="K74" s="45"/>
      <c r="L74" s="45"/>
      <c r="M74" s="45"/>
      <c r="N74" s="194"/>
      <c r="O74" s="45"/>
      <c r="P74" s="45"/>
      <c r="Q74" s="45"/>
      <c r="R74" s="45"/>
      <c r="S74" s="44"/>
    </row>
    <row r="75" spans="1:19" ht="12.75" customHeight="1">
      <c r="A75" s="137"/>
      <c r="B75" s="42"/>
      <c r="C75" s="42"/>
      <c r="D75" s="295" t="s">
        <v>384</v>
      </c>
      <c r="E75" s="45"/>
      <c r="F75" s="45"/>
      <c r="G75" s="45"/>
      <c r="H75" s="45"/>
      <c r="I75" s="45"/>
      <c r="J75" s="45"/>
      <c r="K75" s="45"/>
      <c r="L75" s="413"/>
      <c r="M75" s="45" t="s">
        <v>380</v>
      </c>
      <c r="N75" s="194"/>
      <c r="O75" s="45"/>
      <c r="P75" s="45"/>
      <c r="Q75" s="45"/>
      <c r="R75" s="45"/>
      <c r="S75" s="44"/>
    </row>
    <row r="76" spans="1:19" ht="2.25" customHeight="1">
      <c r="A76" s="137"/>
      <c r="B76" s="42"/>
      <c r="C76" s="42"/>
      <c r="D76" s="59"/>
      <c r="E76" s="45"/>
      <c r="F76" s="45"/>
      <c r="G76" s="45"/>
      <c r="H76" s="45"/>
      <c r="I76" s="45"/>
      <c r="J76" s="45"/>
      <c r="K76" s="45"/>
      <c r="L76" s="45"/>
      <c r="M76" s="45"/>
      <c r="N76" s="194"/>
      <c r="O76" s="45"/>
      <c r="P76" s="45"/>
      <c r="Q76" s="45"/>
      <c r="R76" s="45"/>
      <c r="S76" s="44"/>
    </row>
    <row r="77" spans="1:19" ht="12.75" customHeight="1">
      <c r="A77" s="137"/>
      <c r="B77" s="42"/>
      <c r="C77" s="42"/>
      <c r="D77" s="295" t="s">
        <v>383</v>
      </c>
      <c r="E77" s="45"/>
      <c r="F77" s="45"/>
      <c r="G77" s="45"/>
      <c r="H77" s="45"/>
      <c r="I77" s="45"/>
      <c r="J77" s="45"/>
      <c r="K77" s="45"/>
      <c r="L77" s="413"/>
      <c r="M77" s="45" t="s">
        <v>380</v>
      </c>
      <c r="N77" s="194"/>
      <c r="O77" s="45"/>
      <c r="P77" s="45"/>
      <c r="Q77" s="45"/>
      <c r="R77" s="45"/>
      <c r="S77" s="44"/>
    </row>
    <row r="78" spans="1:19" ht="2.25" customHeight="1">
      <c r="A78" s="137"/>
      <c r="B78" s="42"/>
      <c r="C78" s="42"/>
      <c r="D78" s="59"/>
      <c r="E78" s="45"/>
      <c r="F78" s="45"/>
      <c r="G78" s="45"/>
      <c r="H78" s="45"/>
      <c r="I78" s="45"/>
      <c r="J78" s="45"/>
      <c r="K78" s="45"/>
      <c r="L78" s="45"/>
      <c r="M78" s="45"/>
      <c r="N78" s="194"/>
      <c r="O78" s="45"/>
      <c r="P78" s="45"/>
      <c r="Q78" s="45"/>
      <c r="R78" s="45"/>
      <c r="S78" s="44"/>
    </row>
    <row r="79" spans="1:19" ht="12.75" customHeight="1">
      <c r="A79" s="137"/>
      <c r="B79" s="42"/>
      <c r="C79" s="42"/>
      <c r="D79" s="3" t="s">
        <v>419</v>
      </c>
      <c r="E79" s="45"/>
      <c r="F79" s="45"/>
      <c r="G79" s="45"/>
      <c r="H79" s="45"/>
      <c r="I79" s="45"/>
      <c r="J79" s="45"/>
      <c r="K79" s="45"/>
      <c r="L79" s="301"/>
      <c r="M79" s="302"/>
      <c r="N79" s="303"/>
      <c r="O79" s="302"/>
      <c r="P79" s="45"/>
      <c r="Q79" s="45"/>
      <c r="R79" s="45"/>
      <c r="S79" s="44"/>
    </row>
    <row r="80" spans="1:19" ht="2.25" customHeight="1">
      <c r="A80" s="137"/>
      <c r="B80" s="42"/>
      <c r="C80" s="42"/>
      <c r="D80" s="58"/>
      <c r="E80" s="45"/>
      <c r="F80" s="45"/>
      <c r="G80" s="45"/>
      <c r="H80" s="45"/>
      <c r="I80" s="45"/>
      <c r="J80" s="45"/>
      <c r="K80" s="45"/>
      <c r="L80" s="45"/>
      <c r="M80" s="45"/>
      <c r="N80" s="160"/>
      <c r="O80" s="45"/>
      <c r="P80" s="45"/>
      <c r="Q80" s="45"/>
      <c r="R80" s="45"/>
      <c r="S80" s="44"/>
    </row>
    <row r="81" spans="1:19" ht="12.75" customHeight="1">
      <c r="A81" s="137">
        <v>15</v>
      </c>
      <c r="B81" s="46" t="s">
        <v>378</v>
      </c>
      <c r="C81" s="42"/>
      <c r="D81" s="45" t="s">
        <v>432</v>
      </c>
      <c r="E81" s="45"/>
      <c r="F81" s="45"/>
      <c r="G81" s="45"/>
      <c r="H81" s="45"/>
      <c r="I81" s="45"/>
      <c r="J81" s="45"/>
      <c r="K81" s="45"/>
      <c r="L81" s="45"/>
      <c r="M81" s="45"/>
      <c r="N81" s="161">
        <f>IF(N18=0,0,(N62-N70-N73)*4.9+N73*4.9+L75*1.2)</f>
        <v>0</v>
      </c>
      <c r="O81" s="45" t="s">
        <v>271</v>
      </c>
      <c r="P81" s="45"/>
      <c r="Q81" s="45"/>
      <c r="R81" s="45"/>
      <c r="S81" s="44"/>
    </row>
    <row r="82" spans="1:19" ht="12.75" customHeight="1">
      <c r="A82" s="137"/>
      <c r="B82" s="42"/>
      <c r="C82" s="42"/>
      <c r="D82" s="45"/>
      <c r="E82" s="45"/>
      <c r="F82" s="45"/>
      <c r="G82" s="45"/>
      <c r="H82" s="45"/>
      <c r="I82" s="45"/>
      <c r="J82" s="45"/>
      <c r="L82" s="7"/>
      <c r="M82" s="154"/>
      <c r="N82" s="162"/>
      <c r="O82" s="45"/>
      <c r="P82" s="45"/>
      <c r="Q82" s="45"/>
      <c r="R82" s="45"/>
      <c r="S82" s="44"/>
    </row>
    <row r="83" spans="1:19" ht="12.75" customHeight="1">
      <c r="A83" s="137">
        <v>16</v>
      </c>
      <c r="B83" s="42" t="s">
        <v>421</v>
      </c>
      <c r="C83" s="42"/>
      <c r="D83" s="46" t="s">
        <v>451</v>
      </c>
      <c r="E83" s="45"/>
      <c r="F83" s="45"/>
      <c r="G83" s="45"/>
      <c r="H83" s="45"/>
      <c r="I83" s="45"/>
      <c r="J83" s="45"/>
      <c r="K83" s="45"/>
      <c r="L83" s="45"/>
      <c r="M83" s="45"/>
      <c r="N83" s="161">
        <f>SUM(N58,N81)</f>
        <v>0</v>
      </c>
      <c r="O83" s="45" t="s">
        <v>271</v>
      </c>
      <c r="P83" s="45"/>
      <c r="Q83" s="45"/>
      <c r="R83" s="45"/>
      <c r="S83" s="44"/>
    </row>
    <row r="84" spans="1:19" ht="12.75" customHeight="1">
      <c r="A84" s="57"/>
      <c r="B84" s="42"/>
      <c r="C84" s="42"/>
      <c r="E84" s="45" t="s">
        <v>450</v>
      </c>
      <c r="F84" s="45"/>
      <c r="G84" s="45"/>
      <c r="H84" s="45"/>
      <c r="I84" s="45"/>
      <c r="J84" s="45"/>
      <c r="K84" s="45"/>
      <c r="L84" s="45"/>
      <c r="M84" s="148"/>
      <c r="N84" s="45"/>
      <c r="O84" s="45"/>
      <c r="P84" s="45"/>
      <c r="Q84" s="45"/>
      <c r="R84" s="45"/>
      <c r="S84" s="44"/>
    </row>
    <row r="85" spans="1:19" ht="12.75" customHeight="1">
      <c r="A85" s="57"/>
      <c r="B85" s="42"/>
      <c r="C85" s="42"/>
      <c r="D85" s="45"/>
      <c r="E85" s="45"/>
      <c r="F85" s="45"/>
      <c r="G85" s="45"/>
      <c r="H85" s="45"/>
      <c r="I85" s="45"/>
      <c r="J85" s="45"/>
      <c r="K85" s="45"/>
      <c r="L85" s="45"/>
      <c r="M85" s="148"/>
      <c r="N85" s="45"/>
      <c r="O85" s="45"/>
      <c r="P85" s="45"/>
      <c r="Q85" s="45"/>
      <c r="R85" s="45"/>
      <c r="S85" s="44"/>
    </row>
    <row r="86" spans="1:19" ht="12.75" customHeight="1">
      <c r="A86" s="46" t="s">
        <v>92</v>
      </c>
      <c r="B86" s="42"/>
      <c r="C86" s="42"/>
      <c r="D86" s="45"/>
      <c r="E86" s="45"/>
      <c r="F86" s="45"/>
      <c r="G86" s="45"/>
      <c r="H86" s="45"/>
      <c r="I86" s="45"/>
      <c r="J86" s="45"/>
      <c r="K86" s="45"/>
      <c r="L86" s="45"/>
      <c r="M86" s="148"/>
      <c r="N86" s="45"/>
      <c r="O86" s="45"/>
      <c r="P86" s="45"/>
      <c r="Q86" s="45"/>
      <c r="R86" s="45"/>
      <c r="S86" s="44"/>
    </row>
    <row r="87" spans="1:19" ht="12.75" customHeight="1">
      <c r="A87" s="57" t="s">
        <v>117</v>
      </c>
      <c r="B87" s="45" t="s">
        <v>114</v>
      </c>
      <c r="C87" s="42"/>
      <c r="D87" s="45"/>
      <c r="E87" s="45"/>
      <c r="F87" s="45"/>
      <c r="G87" s="45"/>
      <c r="H87" s="45"/>
      <c r="I87" s="45"/>
      <c r="J87" s="45"/>
      <c r="K87" s="45"/>
      <c r="L87" s="45"/>
      <c r="M87" s="148"/>
      <c r="N87" s="45"/>
      <c r="O87" s="45"/>
      <c r="P87" s="45"/>
      <c r="Q87" s="45"/>
      <c r="R87" s="45"/>
      <c r="S87" s="44"/>
    </row>
    <row r="88" spans="1:19" ht="12.75" customHeight="1">
      <c r="A88" s="57" t="s">
        <v>118</v>
      </c>
      <c r="B88" s="45" t="s">
        <v>34</v>
      </c>
      <c r="C88" s="42"/>
      <c r="D88" s="45"/>
      <c r="E88" s="45"/>
      <c r="F88" s="45"/>
      <c r="G88" s="45"/>
      <c r="H88" s="45"/>
      <c r="I88" s="45"/>
      <c r="J88" s="45"/>
      <c r="K88" s="45"/>
      <c r="L88" s="45"/>
      <c r="M88" s="148"/>
      <c r="N88" s="45"/>
      <c r="O88" s="45"/>
      <c r="P88" s="45"/>
      <c r="Q88" s="45"/>
      <c r="R88" s="45"/>
      <c r="S88" s="44"/>
    </row>
    <row r="89" spans="1:19" ht="12.75" customHeight="1">
      <c r="A89" s="57"/>
      <c r="B89" s="45" t="s">
        <v>297</v>
      </c>
      <c r="C89" s="42"/>
      <c r="D89" s="45"/>
      <c r="E89" s="45"/>
      <c r="F89" s="45"/>
      <c r="G89" s="45"/>
      <c r="H89" s="45"/>
      <c r="I89" s="45"/>
      <c r="J89" s="45"/>
      <c r="K89" s="45"/>
      <c r="L89" s="45"/>
      <c r="M89" s="148"/>
      <c r="N89" s="45"/>
      <c r="O89" s="45"/>
      <c r="P89" s="45"/>
      <c r="Q89" s="45"/>
      <c r="R89" s="45"/>
      <c r="S89" s="44"/>
    </row>
    <row r="90" spans="1:19" ht="12.75" customHeight="1">
      <c r="A90" s="57" t="s">
        <v>119</v>
      </c>
      <c r="B90" s="45" t="s">
        <v>306</v>
      </c>
      <c r="C90" s="42"/>
      <c r="D90" s="45"/>
      <c r="E90" s="45"/>
      <c r="F90" s="45"/>
      <c r="G90" s="45"/>
      <c r="H90" s="45"/>
      <c r="I90" s="45"/>
      <c r="J90" s="45"/>
      <c r="K90" s="45"/>
      <c r="L90" s="45"/>
      <c r="M90" s="148"/>
      <c r="N90" s="45"/>
      <c r="O90" s="45"/>
      <c r="P90" s="45"/>
      <c r="Q90" s="45"/>
      <c r="R90" s="45"/>
      <c r="S90" s="44"/>
    </row>
    <row r="91" spans="1:19" ht="12.75" customHeight="1">
      <c r="A91" s="57"/>
      <c r="B91" s="45" t="s">
        <v>298</v>
      </c>
      <c r="C91" s="42"/>
      <c r="D91" s="45"/>
      <c r="E91" s="45"/>
      <c r="F91" s="45"/>
      <c r="G91" s="45"/>
      <c r="H91" s="45"/>
      <c r="I91" s="45"/>
      <c r="J91" s="45"/>
      <c r="K91" s="45"/>
      <c r="L91" s="45"/>
      <c r="M91" s="148"/>
      <c r="N91" s="45"/>
      <c r="O91" s="45"/>
      <c r="P91" s="45"/>
      <c r="Q91" s="45"/>
      <c r="R91" s="45"/>
      <c r="S91" s="44"/>
    </row>
    <row r="92" spans="1:19" ht="12.75" customHeight="1">
      <c r="A92" s="57" t="s">
        <v>120</v>
      </c>
      <c r="B92" s="45" t="s">
        <v>371</v>
      </c>
      <c r="C92" s="42"/>
      <c r="D92" s="45"/>
      <c r="E92" s="45"/>
      <c r="F92" s="45"/>
      <c r="G92" s="45"/>
      <c r="H92" s="45"/>
      <c r="I92" s="45"/>
      <c r="J92" s="45"/>
      <c r="K92" s="45"/>
      <c r="L92" s="45"/>
      <c r="M92" s="148"/>
      <c r="N92" s="45"/>
      <c r="O92" s="45"/>
      <c r="P92" s="45"/>
      <c r="Q92" s="45"/>
      <c r="R92" s="45"/>
      <c r="S92" s="44"/>
    </row>
    <row r="93" spans="1:19" ht="12.75" customHeight="1">
      <c r="A93" s="57" t="s">
        <v>121</v>
      </c>
      <c r="B93" s="45" t="s">
        <v>370</v>
      </c>
      <c r="C93" s="42"/>
      <c r="D93" s="45"/>
      <c r="E93" s="45"/>
      <c r="F93" s="45"/>
      <c r="G93" s="45"/>
      <c r="H93" s="45"/>
      <c r="I93" s="45"/>
      <c r="J93" s="45"/>
      <c r="K93" s="45"/>
      <c r="L93" s="45"/>
      <c r="M93" s="148"/>
      <c r="N93" s="45"/>
      <c r="O93" s="45"/>
      <c r="P93" s="45"/>
      <c r="Q93" s="45"/>
      <c r="R93" s="45"/>
      <c r="S93" s="44"/>
    </row>
    <row r="94" spans="1:19">
      <c r="A94" s="57" t="s">
        <v>122</v>
      </c>
      <c r="B94" s="45" t="s">
        <v>48</v>
      </c>
      <c r="C94" s="42"/>
      <c r="D94" s="44"/>
      <c r="E94" s="44"/>
      <c r="F94" s="44"/>
      <c r="G94" s="44"/>
      <c r="H94" s="44"/>
      <c r="I94" s="44"/>
      <c r="J94" s="44"/>
      <c r="K94" s="44"/>
      <c r="L94" s="44"/>
      <c r="M94" s="44"/>
      <c r="N94" s="44"/>
      <c r="O94" s="44"/>
      <c r="P94" s="44"/>
      <c r="Q94" s="44"/>
      <c r="R94" s="44"/>
      <c r="S94" s="44"/>
    </row>
    <row r="95" spans="1:19">
      <c r="A95" s="57" t="s">
        <v>123</v>
      </c>
      <c r="B95" s="3" t="s">
        <v>365</v>
      </c>
    </row>
    <row r="96" spans="1:19">
      <c r="A96" s="57"/>
      <c r="B96" s="3"/>
    </row>
    <row r="97" spans="1:12">
      <c r="A97" s="7"/>
      <c r="B97" s="435" t="s">
        <v>240</v>
      </c>
      <c r="C97" s="436"/>
      <c r="D97" s="437"/>
      <c r="E97" s="132" t="s">
        <v>254</v>
      </c>
      <c r="F97" s="97"/>
      <c r="G97" s="96"/>
      <c r="H97" s="98"/>
      <c r="I97" s="133"/>
      <c r="J97" s="134"/>
      <c r="K97" s="97" t="s">
        <v>326</v>
      </c>
      <c r="L97" s="99" t="s">
        <v>327</v>
      </c>
    </row>
    <row r="98" spans="1:12">
      <c r="B98" s="100" t="s">
        <v>237</v>
      </c>
      <c r="C98" s="135"/>
      <c r="D98" s="94"/>
      <c r="E98" s="101" t="s">
        <v>241</v>
      </c>
      <c r="F98" s="5"/>
      <c r="G98" s="5"/>
      <c r="H98" s="135"/>
      <c r="I98" s="135"/>
      <c r="J98" s="102"/>
      <c r="K98" s="79">
        <v>0</v>
      </c>
      <c r="L98" s="87">
        <v>0</v>
      </c>
    </row>
    <row r="99" spans="1:12">
      <c r="B99" s="100"/>
      <c r="C99" s="135"/>
      <c r="D99" s="94"/>
      <c r="E99" s="101" t="s">
        <v>342</v>
      </c>
      <c r="F99" s="5"/>
      <c r="G99" s="5"/>
      <c r="H99" s="135"/>
      <c r="I99" s="135"/>
      <c r="J99" s="102"/>
      <c r="K99" s="79"/>
      <c r="L99" s="87"/>
    </row>
    <row r="100" spans="1:12">
      <c r="B100" s="100"/>
      <c r="C100" s="135"/>
      <c r="D100" s="94"/>
      <c r="E100" s="101" t="s">
        <v>343</v>
      </c>
      <c r="F100" s="5"/>
      <c r="G100" s="5"/>
      <c r="H100" s="135"/>
      <c r="I100" s="135"/>
      <c r="J100" s="102"/>
      <c r="K100" s="79"/>
      <c r="L100" s="87"/>
    </row>
    <row r="101" spans="1:12">
      <c r="B101" s="100"/>
      <c r="C101" s="135"/>
      <c r="D101" s="94"/>
      <c r="E101" s="101" t="s">
        <v>344</v>
      </c>
      <c r="F101" s="5"/>
      <c r="G101" s="5"/>
      <c r="H101" s="135"/>
      <c r="I101" s="135"/>
      <c r="J101" s="102"/>
      <c r="K101" s="79"/>
      <c r="L101" s="87"/>
    </row>
    <row r="102" spans="1:12">
      <c r="B102" s="100"/>
      <c r="C102" s="135"/>
      <c r="D102" s="94"/>
      <c r="E102" s="101" t="s">
        <v>366</v>
      </c>
      <c r="F102" s="5"/>
      <c r="G102" s="5"/>
      <c r="H102" s="135"/>
      <c r="I102" s="135"/>
      <c r="J102" s="102"/>
      <c r="K102" s="79"/>
      <c r="L102" s="87"/>
    </row>
    <row r="103" spans="1:12">
      <c r="B103" s="100"/>
      <c r="C103" s="135"/>
      <c r="D103" s="94"/>
      <c r="E103" s="101" t="s">
        <v>345</v>
      </c>
      <c r="F103" s="5"/>
      <c r="G103" s="5"/>
      <c r="H103" s="135"/>
      <c r="I103" s="135"/>
      <c r="J103" s="102"/>
      <c r="K103" s="79"/>
      <c r="L103" s="87"/>
    </row>
    <row r="104" spans="1:12">
      <c r="B104" s="100"/>
      <c r="C104" s="135"/>
      <c r="D104" s="94"/>
      <c r="E104" s="101" t="s">
        <v>346</v>
      </c>
      <c r="F104" s="5"/>
      <c r="G104" s="5"/>
      <c r="H104" s="135"/>
      <c r="I104" s="135"/>
      <c r="J104" s="102"/>
      <c r="K104" s="79"/>
      <c r="L104" s="87"/>
    </row>
    <row r="105" spans="1:12">
      <c r="B105" s="100"/>
      <c r="C105" s="135"/>
      <c r="D105" s="94"/>
      <c r="E105" s="101" t="s">
        <v>347</v>
      </c>
      <c r="F105" s="5"/>
      <c r="G105" s="5"/>
      <c r="H105" s="135"/>
      <c r="I105" s="135"/>
      <c r="J105" s="102"/>
      <c r="K105" s="79"/>
      <c r="L105" s="87"/>
    </row>
    <row r="106" spans="1:12">
      <c r="B106" s="100"/>
      <c r="C106" s="135"/>
      <c r="D106" s="94"/>
      <c r="E106" s="101" t="s">
        <v>348</v>
      </c>
      <c r="F106" s="5"/>
      <c r="G106" s="5"/>
      <c r="H106" s="135"/>
      <c r="I106" s="135"/>
      <c r="J106" s="102"/>
      <c r="K106" s="79"/>
      <c r="L106" s="87"/>
    </row>
    <row r="107" spans="1:12">
      <c r="B107" s="100"/>
      <c r="C107" s="135"/>
      <c r="D107" s="94"/>
      <c r="E107" s="101" t="s">
        <v>349</v>
      </c>
      <c r="F107" s="5"/>
      <c r="G107" s="5"/>
      <c r="H107" s="135"/>
      <c r="I107" s="135"/>
      <c r="J107" s="102"/>
      <c r="K107" s="79"/>
      <c r="L107" s="87"/>
    </row>
    <row r="108" spans="1:12">
      <c r="B108" s="100"/>
      <c r="C108" s="135"/>
      <c r="D108" s="94"/>
      <c r="E108" s="101" t="s">
        <v>350</v>
      </c>
      <c r="F108" s="5"/>
      <c r="G108" s="5"/>
      <c r="H108" s="135"/>
      <c r="I108" s="135"/>
      <c r="J108" s="102"/>
      <c r="K108" s="79"/>
      <c r="L108" s="87"/>
    </row>
    <row r="109" spans="1:12">
      <c r="B109" s="100"/>
      <c r="C109" s="135"/>
      <c r="D109" s="94"/>
      <c r="E109" s="101" t="s">
        <v>351</v>
      </c>
      <c r="F109" s="5"/>
      <c r="G109" s="5"/>
      <c r="H109" s="135"/>
      <c r="I109" s="135"/>
      <c r="J109" s="102"/>
      <c r="K109" s="79"/>
      <c r="L109" s="87"/>
    </row>
    <row r="110" spans="1:12">
      <c r="B110" s="272"/>
      <c r="C110" s="136"/>
      <c r="D110" s="278"/>
      <c r="E110" s="273" t="s">
        <v>352</v>
      </c>
      <c r="F110" s="92"/>
      <c r="G110" s="92"/>
      <c r="H110" s="136"/>
      <c r="I110" s="136"/>
      <c r="J110" s="274"/>
      <c r="K110" s="279"/>
      <c r="L110" s="280"/>
    </row>
    <row r="111" spans="1:12">
      <c r="B111" s="281" t="s">
        <v>238</v>
      </c>
      <c r="C111" s="282"/>
      <c r="D111" s="283"/>
      <c r="E111" s="284" t="s">
        <v>353</v>
      </c>
      <c r="F111" s="285"/>
      <c r="G111" s="285"/>
      <c r="H111" s="282"/>
      <c r="I111" s="282"/>
      <c r="J111" s="286"/>
      <c r="K111" s="287">
        <v>0.3</v>
      </c>
      <c r="L111" s="288">
        <v>0.3</v>
      </c>
    </row>
    <row r="112" spans="1:12">
      <c r="B112" s="272"/>
      <c r="C112" s="136"/>
      <c r="D112" s="278"/>
      <c r="E112" s="273" t="s">
        <v>354</v>
      </c>
      <c r="F112" s="92"/>
      <c r="G112" s="92"/>
      <c r="H112" s="136"/>
      <c r="I112" s="136"/>
      <c r="J112" s="274"/>
      <c r="K112" s="279"/>
      <c r="L112" s="280"/>
    </row>
    <row r="113" spans="2:12">
      <c r="B113" s="100" t="s">
        <v>248</v>
      </c>
      <c r="C113" s="135"/>
      <c r="D113" s="94"/>
      <c r="E113" s="101" t="s">
        <v>355</v>
      </c>
      <c r="F113" s="5"/>
      <c r="G113" s="5"/>
      <c r="H113" s="135"/>
      <c r="I113" s="135"/>
      <c r="J113" s="102"/>
      <c r="K113" s="79">
        <v>0.8</v>
      </c>
      <c r="L113" s="87">
        <v>0.8</v>
      </c>
    </row>
    <row r="114" spans="2:12">
      <c r="B114" s="273"/>
      <c r="C114" s="136"/>
      <c r="D114" s="278"/>
      <c r="E114" s="273" t="s">
        <v>356</v>
      </c>
      <c r="F114" s="92"/>
      <c r="G114" s="92"/>
      <c r="H114" s="136"/>
      <c r="I114" s="136"/>
      <c r="J114" s="274"/>
      <c r="K114" s="279"/>
      <c r="L114" s="280"/>
    </row>
    <row r="115" spans="2:12">
      <c r="B115" s="100" t="s">
        <v>357</v>
      </c>
      <c r="C115" s="135"/>
      <c r="D115" s="94"/>
      <c r="E115" s="101" t="s">
        <v>358</v>
      </c>
      <c r="F115" s="5"/>
      <c r="G115" s="5"/>
      <c r="H115" s="135"/>
      <c r="I115" s="135"/>
      <c r="J115" s="102"/>
      <c r="K115" s="89">
        <v>0.2</v>
      </c>
      <c r="L115" s="90">
        <v>0.2</v>
      </c>
    </row>
    <row r="116" spans="2:12">
      <c r="B116" s="100"/>
      <c r="C116" s="135"/>
      <c r="D116" s="95"/>
      <c r="E116" s="101" t="s">
        <v>359</v>
      </c>
      <c r="F116" s="5"/>
      <c r="G116" s="5"/>
      <c r="H116" s="135"/>
      <c r="I116" s="135"/>
      <c r="J116" s="102"/>
      <c r="K116" s="89"/>
      <c r="L116" s="90"/>
    </row>
    <row r="117" spans="2:12">
      <c r="B117" s="272"/>
      <c r="C117" s="136"/>
      <c r="D117" s="93"/>
      <c r="E117" s="273" t="s">
        <v>360</v>
      </c>
      <c r="F117" s="92"/>
      <c r="G117" s="92"/>
      <c r="H117" s="136"/>
      <c r="I117" s="136"/>
      <c r="J117" s="274"/>
      <c r="K117" s="275"/>
      <c r="L117" s="276"/>
    </row>
    <row r="118" spans="2:12">
      <c r="B118" s="100" t="s">
        <v>361</v>
      </c>
      <c r="C118" s="135"/>
      <c r="D118" s="95"/>
      <c r="E118" s="101" t="s">
        <v>362</v>
      </c>
      <c r="F118" s="5"/>
      <c r="G118" s="5"/>
      <c r="H118" s="135"/>
      <c r="I118" s="135"/>
      <c r="J118" s="102"/>
      <c r="K118" s="89">
        <v>0.8</v>
      </c>
      <c r="L118" s="90">
        <v>0.8</v>
      </c>
    </row>
    <row r="119" spans="2:12">
      <c r="B119" s="100"/>
      <c r="C119" s="135"/>
      <c r="D119" s="95"/>
      <c r="E119" s="101" t="s">
        <v>24</v>
      </c>
      <c r="F119" s="5"/>
      <c r="G119" s="5"/>
      <c r="H119" s="135"/>
      <c r="I119" s="135"/>
      <c r="J119" s="102"/>
      <c r="K119" s="89"/>
      <c r="L119" s="90"/>
    </row>
    <row r="120" spans="2:12">
      <c r="B120" s="91"/>
      <c r="C120" s="136"/>
      <c r="D120" s="93"/>
      <c r="E120" s="91"/>
      <c r="F120" s="92"/>
      <c r="G120" s="92"/>
      <c r="H120" s="136"/>
      <c r="I120" s="136"/>
      <c r="J120" s="93"/>
      <c r="K120" s="92"/>
      <c r="L120" s="93"/>
    </row>
  </sheetData>
  <sheetProtection password="D286" sheet="1" objects="1" scenarios="1" selectLockedCells="1"/>
  <mergeCells count="2">
    <mergeCell ref="C3:N3"/>
    <mergeCell ref="B97:D97"/>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0" max="14" man="1"/>
  </rowBreaks>
</worksheet>
</file>

<file path=xl/worksheets/sheet5.xml><?xml version="1.0" encoding="utf-8"?>
<worksheet xmlns="http://schemas.openxmlformats.org/spreadsheetml/2006/main" xmlns:r="http://schemas.openxmlformats.org/officeDocument/2006/relationships">
  <sheetPr codeName="Sheet5" enableFormatConditionsCalculation="0">
    <tabColor indexed="52"/>
  </sheetPr>
  <dimension ref="A1:AJ154"/>
  <sheetViews>
    <sheetView view="pageBreakPreview" zoomScale="75" zoomScaleNormal="75" workbookViewId="0">
      <selection activeCell="E47" sqref="E47"/>
    </sheetView>
  </sheetViews>
  <sheetFormatPr defaultRowHeight="12.75"/>
  <cols>
    <col min="1" max="1" width="16.28515625" customWidth="1"/>
    <col min="2" max="2" width="12.42578125" customWidth="1"/>
    <col min="3" max="3" width="6.5703125" customWidth="1"/>
    <col min="4" max="4" width="14.28515625" customWidth="1"/>
    <col min="5" max="5" width="13.85546875" customWidth="1"/>
    <col min="6" max="6" width="10.7109375" customWidth="1"/>
    <col min="7" max="7" width="8.7109375" customWidth="1"/>
    <col min="8" max="8" width="9.42578125" customWidth="1"/>
    <col min="9" max="9" width="12.5703125" customWidth="1"/>
    <col min="10" max="10" width="9" customWidth="1"/>
    <col min="11" max="11" width="8" customWidth="1"/>
    <col min="12" max="12" width="7.85546875" customWidth="1"/>
    <col min="13" max="13" width="8.42578125" customWidth="1"/>
    <col min="14" max="14" width="6.42578125" customWidth="1"/>
    <col min="15" max="16" width="7.140625" customWidth="1"/>
    <col min="17" max="17" width="11.85546875" customWidth="1"/>
    <col min="18" max="18" width="11.5703125" customWidth="1"/>
    <col min="19" max="19" width="14.42578125" customWidth="1"/>
    <col min="20" max="20" width="2.140625" customWidth="1"/>
  </cols>
  <sheetData>
    <row r="1" spans="1:15" s="1" customFormat="1" ht="23.25">
      <c r="A1" s="199" t="s">
        <v>468</v>
      </c>
      <c r="B1" s="145"/>
      <c r="C1" s="146"/>
      <c r="D1" s="147"/>
      <c r="E1" s="147"/>
      <c r="F1" s="147"/>
      <c r="G1" s="147"/>
      <c r="H1" s="147"/>
      <c r="I1" s="147"/>
      <c r="J1" s="147"/>
      <c r="K1" s="147"/>
      <c r="L1" s="147"/>
      <c r="M1" s="147"/>
      <c r="N1" s="147"/>
      <c r="O1" s="147"/>
    </row>
    <row r="2" spans="1:15" s="1" customFormat="1" ht="13.5" customHeight="1">
      <c r="A2" s="144"/>
      <c r="B2" s="145"/>
      <c r="C2" s="146"/>
      <c r="D2" s="147"/>
      <c r="E2" s="147"/>
      <c r="F2" s="147"/>
      <c r="G2" s="147"/>
      <c r="H2" s="147"/>
      <c r="I2" s="147"/>
      <c r="J2" s="147"/>
      <c r="K2" s="147"/>
      <c r="L2" s="147"/>
      <c r="M2" s="147"/>
      <c r="N2" s="147"/>
      <c r="O2" s="147"/>
    </row>
    <row r="3" spans="1:15" s="1" customFormat="1" ht="20.25" customHeight="1">
      <c r="A3" s="144" t="s">
        <v>452</v>
      </c>
      <c r="B3" s="145"/>
      <c r="C3" s="146"/>
      <c r="D3" s="147"/>
      <c r="E3" s="147"/>
      <c r="F3" s="147"/>
      <c r="G3" s="147"/>
      <c r="H3" s="147"/>
      <c r="I3" s="147"/>
      <c r="J3" s="147"/>
      <c r="K3" s="147"/>
      <c r="L3" s="147"/>
      <c r="M3" s="147"/>
      <c r="N3" s="147"/>
      <c r="O3" s="147"/>
    </row>
    <row r="4" spans="1:15" s="1" customFormat="1" ht="13.5" customHeight="1">
      <c r="A4" s="48"/>
      <c r="B4" s="48"/>
      <c r="C4" s="48"/>
    </row>
    <row r="5" spans="1:15" s="1" customFormat="1" ht="13.5" customHeight="1">
      <c r="A5" s="110" t="s">
        <v>16</v>
      </c>
      <c r="B5" s="110"/>
      <c r="C5" s="48"/>
    </row>
    <row r="6" spans="1:15" s="1" customFormat="1" ht="33.75" customHeight="1">
      <c r="A6" s="440" t="s">
        <v>308</v>
      </c>
      <c r="B6" s="440"/>
      <c r="C6" s="440"/>
      <c r="D6" s="440"/>
      <c r="E6" s="440"/>
      <c r="F6" s="440"/>
      <c r="G6" s="440"/>
      <c r="H6" s="440"/>
      <c r="I6" s="440"/>
      <c r="J6" s="440"/>
      <c r="K6" s="440"/>
      <c r="L6" s="440"/>
      <c r="M6" s="440"/>
      <c r="N6" s="440"/>
    </row>
    <row r="7" spans="1:15" s="1" customFormat="1" ht="13.5" customHeight="1">
      <c r="A7" s="110" t="s">
        <v>309</v>
      </c>
      <c r="B7" s="110"/>
      <c r="C7" s="48"/>
    </row>
    <row r="8" spans="1:15" s="1" customFormat="1" ht="13.5" customHeight="1">
      <c r="A8" s="110"/>
      <c r="B8" s="110"/>
      <c r="C8" s="48"/>
    </row>
    <row r="9" spans="1:15" s="1" customFormat="1" ht="20.25">
      <c r="A9" s="262" t="s">
        <v>115</v>
      </c>
      <c r="B9" s="112"/>
      <c r="C9" s="48"/>
    </row>
    <row r="10" spans="1:15" ht="15">
      <c r="A10" s="108"/>
      <c r="B10" s="108"/>
      <c r="C10" s="108"/>
      <c r="D10" s="108"/>
      <c r="E10" s="108"/>
    </row>
    <row r="11" spans="1:15" ht="15">
      <c r="A11" s="108"/>
      <c r="B11" s="108"/>
      <c r="C11" s="108"/>
      <c r="D11" s="108"/>
      <c r="E11" s="108"/>
    </row>
    <row r="12" spans="1:15">
      <c r="A12" s="35"/>
      <c r="B12" s="35"/>
      <c r="C12" s="35"/>
    </row>
    <row r="46" spans="1:18">
      <c r="E46" s="2"/>
      <c r="R46" s="129"/>
    </row>
    <row r="47" spans="1:18" ht="20.25">
      <c r="A47" s="262" t="s">
        <v>116</v>
      </c>
      <c r="B47" s="112"/>
      <c r="C47" s="48"/>
      <c r="D47" s="1"/>
      <c r="E47" s="2"/>
    </row>
    <row r="48" spans="1:18" ht="15">
      <c r="A48" s="108"/>
      <c r="B48" s="108"/>
      <c r="C48" s="108"/>
      <c r="D48" s="108"/>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1:11">
      <c r="E81" s="2"/>
    </row>
    <row r="82" spans="1:11">
      <c r="E82" s="2"/>
    </row>
    <row r="83" spans="1:11">
      <c r="E83" s="2"/>
    </row>
    <row r="85" spans="1:11" s="1" customFormat="1" ht="15" customHeight="1">
      <c r="A85" s="108"/>
      <c r="B85" s="108"/>
      <c r="D85" s="114"/>
    </row>
    <row r="86" spans="1:11" s="1" customFormat="1" ht="15" customHeight="1">
      <c r="B86"/>
      <c r="C86"/>
      <c r="D86" s="111"/>
    </row>
    <row r="87" spans="1:11" s="1" customFormat="1" ht="15" customHeight="1">
      <c r="B87"/>
      <c r="C87"/>
      <c r="D87" s="111"/>
    </row>
    <row r="88" spans="1:11" s="1" customFormat="1" ht="15" customHeight="1">
      <c r="B88"/>
      <c r="C88"/>
      <c r="D88" s="111"/>
    </row>
    <row r="89" spans="1:11" s="1" customFormat="1" ht="15" customHeight="1">
      <c r="A89" s="48"/>
      <c r="B89" s="48"/>
      <c r="C89" s="48"/>
      <c r="D89" s="435" t="s">
        <v>240</v>
      </c>
      <c r="E89" s="437"/>
      <c r="F89" s="109" t="s">
        <v>254</v>
      </c>
      <c r="G89" s="97"/>
      <c r="H89" s="96"/>
      <c r="I89" s="98"/>
      <c r="J89" s="97" t="s">
        <v>242</v>
      </c>
      <c r="K89" s="99" t="s">
        <v>243</v>
      </c>
    </row>
    <row r="90" spans="1:11" s="1" customFormat="1" ht="15" customHeight="1">
      <c r="A90" s="48"/>
      <c r="B90" s="48"/>
      <c r="C90" s="48"/>
      <c r="D90" s="100" t="s">
        <v>237</v>
      </c>
      <c r="E90" s="94"/>
      <c r="F90" s="84" t="s">
        <v>241</v>
      </c>
      <c r="G90" s="5"/>
      <c r="H90" s="5"/>
      <c r="I90" s="102"/>
      <c r="J90" s="79">
        <v>0</v>
      </c>
      <c r="K90" s="87">
        <v>0</v>
      </c>
    </row>
    <row r="91" spans="1:11" s="1" customFormat="1" ht="15" customHeight="1">
      <c r="A91" s="48"/>
      <c r="B91" s="48"/>
      <c r="C91" s="48"/>
      <c r="D91" s="100" t="s">
        <v>237</v>
      </c>
      <c r="E91" s="95"/>
      <c r="F91" s="84" t="s">
        <v>244</v>
      </c>
      <c r="G91" s="5"/>
      <c r="H91" s="5"/>
      <c r="I91" s="102"/>
      <c r="J91" s="79">
        <v>0</v>
      </c>
      <c r="K91" s="87">
        <v>0</v>
      </c>
    </row>
    <row r="92" spans="1:11" s="1" customFormat="1" ht="15" customHeight="1">
      <c r="A92" s="48"/>
      <c r="B92" s="48"/>
      <c r="C92" s="48"/>
      <c r="D92" s="100" t="s">
        <v>238</v>
      </c>
      <c r="E92" s="94"/>
      <c r="F92" s="84" t="s">
        <v>353</v>
      </c>
      <c r="G92" s="5"/>
      <c r="H92" s="5"/>
      <c r="I92" s="102"/>
      <c r="J92" s="79">
        <v>0.3</v>
      </c>
      <c r="K92" s="87">
        <v>0.3</v>
      </c>
    </row>
    <row r="93" spans="1:11" s="1" customFormat="1" ht="15" customHeight="1">
      <c r="A93" s="48"/>
      <c r="B93" s="48"/>
      <c r="C93" s="48"/>
      <c r="D93" s="100" t="s">
        <v>250</v>
      </c>
      <c r="E93" s="95"/>
      <c r="F93" s="84" t="s">
        <v>42</v>
      </c>
      <c r="G93" s="5"/>
      <c r="H93" s="5"/>
      <c r="I93" s="102"/>
      <c r="J93" s="79">
        <v>0.3</v>
      </c>
      <c r="K93" s="87">
        <v>0.3</v>
      </c>
    </row>
    <row r="94" spans="1:11" s="1" customFormat="1" ht="15" customHeight="1">
      <c r="A94" s="48"/>
      <c r="B94" s="48"/>
      <c r="C94" s="48"/>
      <c r="D94" s="100" t="s">
        <v>43</v>
      </c>
      <c r="E94" s="95"/>
      <c r="F94" s="84"/>
      <c r="G94" s="5"/>
      <c r="H94" s="5"/>
      <c r="I94" s="102"/>
      <c r="J94" s="79">
        <v>0.8</v>
      </c>
      <c r="K94" s="87">
        <v>0.8</v>
      </c>
    </row>
    <row r="95" spans="1:11" s="1" customFormat="1" ht="15" customHeight="1">
      <c r="A95" s="48"/>
      <c r="B95" s="48"/>
      <c r="C95" s="48"/>
      <c r="D95" s="100" t="s">
        <v>248</v>
      </c>
      <c r="E95" s="94"/>
      <c r="F95" s="84"/>
      <c r="G95" s="5"/>
      <c r="H95" s="5"/>
      <c r="I95" s="102"/>
      <c r="J95" s="79">
        <v>0.8</v>
      </c>
      <c r="K95" s="87">
        <v>0.8</v>
      </c>
    </row>
    <row r="96" spans="1:11" s="1" customFormat="1" ht="15" customHeight="1">
      <c r="A96" s="48"/>
      <c r="B96" s="48"/>
      <c r="C96" s="48"/>
      <c r="D96" s="100" t="s">
        <v>249</v>
      </c>
      <c r="E96" s="94"/>
      <c r="F96" s="84" t="s">
        <v>126</v>
      </c>
      <c r="G96" s="5"/>
      <c r="H96" s="5"/>
      <c r="I96" s="102"/>
      <c r="J96" s="79">
        <v>0.2</v>
      </c>
      <c r="K96" s="87">
        <v>0.2</v>
      </c>
    </row>
    <row r="97" spans="1:18" s="1" customFormat="1" ht="15" customHeight="1">
      <c r="A97" s="48"/>
      <c r="B97" s="48"/>
      <c r="C97" s="48"/>
      <c r="D97" s="101" t="s">
        <v>239</v>
      </c>
      <c r="E97" s="94"/>
      <c r="F97" s="84" t="s">
        <v>126</v>
      </c>
      <c r="G97" s="5"/>
      <c r="H97" s="5"/>
      <c r="I97" s="102"/>
      <c r="J97" s="79">
        <v>0.8</v>
      </c>
      <c r="K97" s="87">
        <v>0.8</v>
      </c>
    </row>
    <row r="98" spans="1:18" s="1" customFormat="1" ht="15" customHeight="1">
      <c r="A98" s="48"/>
      <c r="B98" s="48"/>
      <c r="C98" s="48"/>
      <c r="D98" s="100" t="s">
        <v>237</v>
      </c>
      <c r="E98" s="94"/>
      <c r="F98" s="84" t="s">
        <v>245</v>
      </c>
      <c r="G98" s="5"/>
      <c r="H98" s="5"/>
      <c r="I98" s="102"/>
      <c r="J98" s="89">
        <v>0</v>
      </c>
      <c r="K98" s="90">
        <v>0</v>
      </c>
    </row>
    <row r="99" spans="1:18" s="1" customFormat="1" ht="15" customHeight="1">
      <c r="A99" s="48"/>
      <c r="B99" s="48"/>
      <c r="C99" s="48"/>
      <c r="D99" s="100" t="s">
        <v>237</v>
      </c>
      <c r="E99" s="95"/>
      <c r="F99" s="84" t="s">
        <v>246</v>
      </c>
      <c r="G99" s="5"/>
      <c r="H99" s="5"/>
      <c r="I99" s="102"/>
      <c r="J99" s="89">
        <v>0</v>
      </c>
      <c r="K99" s="90">
        <v>0</v>
      </c>
    </row>
    <row r="100" spans="1:18" s="1" customFormat="1" ht="15" customHeight="1">
      <c r="A100" s="48"/>
      <c r="B100" s="48"/>
      <c r="C100" s="48"/>
      <c r="D100" s="100" t="s">
        <v>237</v>
      </c>
      <c r="E100" s="95"/>
      <c r="F100" s="84" t="s">
        <v>247</v>
      </c>
      <c r="G100" s="5"/>
      <c r="H100" s="5"/>
      <c r="I100" s="102"/>
      <c r="J100" s="89">
        <v>0</v>
      </c>
      <c r="K100" s="90">
        <v>0</v>
      </c>
    </row>
    <row r="101" spans="1:18" s="1" customFormat="1" ht="15" customHeight="1">
      <c r="A101" s="48"/>
      <c r="B101" s="48"/>
      <c r="C101" s="48"/>
      <c r="D101" s="91"/>
      <c r="E101" s="93"/>
      <c r="F101" s="92"/>
      <c r="G101" s="92"/>
      <c r="H101" s="92"/>
      <c r="I101" s="93"/>
      <c r="J101" s="92"/>
      <c r="K101" s="93"/>
    </row>
    <row r="102" spans="1:18" s="1" customFormat="1" ht="12.75" customHeight="1">
      <c r="A102" s="48"/>
      <c r="B102" s="48"/>
      <c r="C102" s="48"/>
    </row>
    <row r="103" spans="1:18" s="1" customFormat="1" ht="12.75" customHeight="1">
      <c r="A103" s="48"/>
      <c r="B103" s="110"/>
      <c r="C103" s="48"/>
    </row>
    <row r="104" spans="1:18" s="1" customFormat="1" ht="12.75" customHeight="1">
      <c r="A104" s="48"/>
      <c r="B104" s="48"/>
      <c r="C104" s="48"/>
    </row>
    <row r="105" spans="1:18" s="1" customFormat="1" ht="12.75" customHeight="1">
      <c r="A105" s="48"/>
      <c r="B105" s="48"/>
      <c r="C105" s="48"/>
    </row>
    <row r="106" spans="1:18" s="1" customFormat="1" ht="12.75" customHeight="1">
      <c r="A106" s="48"/>
      <c r="B106" s="48"/>
      <c r="C106" s="48"/>
    </row>
    <row r="107" spans="1:18" s="1" customFormat="1" ht="12.75" customHeight="1">
      <c r="A107" s="48" t="s">
        <v>253</v>
      </c>
      <c r="B107" s="48"/>
      <c r="C107" s="48"/>
    </row>
    <row r="108" spans="1:18" s="1" customFormat="1" ht="12.75" customHeight="1">
      <c r="A108" s="48"/>
      <c r="B108" s="48"/>
      <c r="C108" s="48"/>
    </row>
    <row r="109" spans="1:18" s="1" customFormat="1" ht="12.75" customHeight="1">
      <c r="A109" s="48"/>
      <c r="B109" s="48"/>
      <c r="C109" s="48"/>
      <c r="E109" s="441" t="s">
        <v>264</v>
      </c>
      <c r="F109" s="442"/>
      <c r="G109" s="443"/>
      <c r="H109" s="441" t="s">
        <v>40</v>
      </c>
      <c r="I109" s="442"/>
      <c r="J109" s="443"/>
      <c r="K109" s="441" t="s">
        <v>39</v>
      </c>
      <c r="L109" s="442"/>
      <c r="M109" s="443"/>
      <c r="N109" s="441" t="s">
        <v>263</v>
      </c>
      <c r="O109" s="442"/>
      <c r="P109" s="443"/>
      <c r="Q109" s="441" t="s">
        <v>41</v>
      </c>
      <c r="R109" s="443"/>
    </row>
    <row r="110" spans="1:18" s="1" customFormat="1" ht="12.75" customHeight="1">
      <c r="A110" s="48"/>
      <c r="B110" s="48"/>
      <c r="C110" s="48"/>
      <c r="D110" s="103"/>
      <c r="E110" s="444" t="s">
        <v>326</v>
      </c>
      <c r="F110" s="444"/>
      <c r="G110" s="444"/>
      <c r="H110" s="444"/>
      <c r="I110" s="444"/>
      <c r="J110" s="444"/>
      <c r="K110" s="444"/>
      <c r="L110" s="444"/>
      <c r="M110" s="444"/>
      <c r="N110" s="444"/>
      <c r="O110" s="444"/>
      <c r="P110" s="444"/>
      <c r="Q110" s="444"/>
      <c r="R110" s="445"/>
    </row>
    <row r="111" spans="1:18" s="1" customFormat="1" ht="12.75" customHeight="1">
      <c r="A111" s="48"/>
      <c r="B111" s="48"/>
      <c r="C111" s="48"/>
      <c r="D111" s="104"/>
      <c r="E111" s="124">
        <v>0.2</v>
      </c>
      <c r="F111" s="125"/>
      <c r="G111" s="126"/>
      <c r="H111" s="124">
        <v>0.3</v>
      </c>
      <c r="I111" s="125"/>
      <c r="J111" s="126"/>
      <c r="K111" s="124">
        <v>0</v>
      </c>
      <c r="L111" s="125"/>
      <c r="M111" s="126"/>
      <c r="N111" s="124">
        <v>0.8</v>
      </c>
      <c r="O111" s="125"/>
      <c r="P111" s="126"/>
      <c r="Q111" s="127">
        <v>0.8</v>
      </c>
      <c r="R111" s="128"/>
    </row>
    <row r="112" spans="1:18" s="1" customFormat="1" ht="12.75" customHeight="1">
      <c r="A112" s="48"/>
      <c r="B112" s="48"/>
      <c r="C112" s="48"/>
      <c r="D112" s="28"/>
      <c r="E112" s="438" t="s">
        <v>327</v>
      </c>
      <c r="F112" s="438"/>
      <c r="G112" s="438"/>
      <c r="H112" s="438"/>
      <c r="I112" s="438"/>
      <c r="J112" s="438"/>
      <c r="K112" s="438"/>
      <c r="L112" s="438"/>
      <c r="M112" s="438"/>
      <c r="N112" s="438"/>
      <c r="O112" s="438"/>
      <c r="P112" s="438"/>
      <c r="Q112" s="438"/>
      <c r="R112" s="439"/>
    </row>
    <row r="113" spans="1:18" s="1" customFormat="1" ht="12.75" customHeight="1">
      <c r="A113" s="48"/>
      <c r="B113" s="48"/>
      <c r="C113" s="48"/>
      <c r="D113" s="28"/>
      <c r="E113" s="124">
        <v>0.2</v>
      </c>
      <c r="F113" s="125"/>
      <c r="G113" s="126"/>
      <c r="H113" s="124">
        <v>0.3</v>
      </c>
      <c r="I113" s="125"/>
      <c r="J113" s="126"/>
      <c r="K113" s="124">
        <v>0</v>
      </c>
      <c r="L113" s="125"/>
      <c r="M113" s="126"/>
      <c r="N113" s="124">
        <v>0.8</v>
      </c>
      <c r="O113" s="125"/>
      <c r="P113" s="126"/>
      <c r="Q113" s="127">
        <v>0.8</v>
      </c>
      <c r="R113" s="128"/>
    </row>
    <row r="114" spans="1:18" s="1" customFormat="1" ht="12.75" customHeight="1">
      <c r="A114" s="48"/>
      <c r="B114" s="48"/>
      <c r="C114" s="48"/>
      <c r="D114" s="122"/>
      <c r="E114" s="123"/>
      <c r="F114" s="123"/>
      <c r="G114" s="123"/>
      <c r="H114" s="123"/>
      <c r="I114" s="123"/>
      <c r="J114" s="123"/>
      <c r="K114" s="123"/>
      <c r="L114" s="123"/>
      <c r="M114" s="123"/>
      <c r="N114" s="123"/>
      <c r="O114" s="123"/>
      <c r="P114" s="123"/>
      <c r="Q114" s="85"/>
      <c r="R114" s="86"/>
    </row>
    <row r="115" spans="1:18" s="1" customFormat="1" ht="12.75" customHeight="1">
      <c r="A115" s="48"/>
      <c r="B115" s="48"/>
      <c r="C115" s="48"/>
      <c r="D115" s="105" t="s">
        <v>211</v>
      </c>
      <c r="E115" s="438" t="s">
        <v>252</v>
      </c>
      <c r="F115" s="438"/>
      <c r="G115" s="438"/>
      <c r="H115" s="438"/>
      <c r="I115" s="438"/>
      <c r="J115" s="438"/>
      <c r="K115" s="438"/>
      <c r="L115" s="438"/>
      <c r="M115" s="438"/>
      <c r="N115" s="438"/>
      <c r="O115" s="438"/>
      <c r="P115" s="438"/>
      <c r="Q115" s="438"/>
      <c r="R115" s="439"/>
    </row>
    <row r="116" spans="1:18" s="1" customFormat="1" ht="12.75" customHeight="1">
      <c r="A116" s="48"/>
      <c r="B116" s="48"/>
      <c r="C116" s="48"/>
      <c r="D116" s="88">
        <v>1000</v>
      </c>
      <c r="E116" s="169">
        <f>U133</f>
        <v>43.132139999999993</v>
      </c>
      <c r="F116" s="171"/>
      <c r="G116" s="173"/>
      <c r="H116" s="169">
        <f>U137</f>
        <v>57.118319999999997</v>
      </c>
      <c r="I116" s="171"/>
      <c r="J116" s="173"/>
      <c r="K116" s="169">
        <f>U135</f>
        <v>19.624500000000001</v>
      </c>
      <c r="L116" s="171"/>
      <c r="M116" s="173"/>
      <c r="N116" s="169">
        <f>U139</f>
        <v>149.37282000000002</v>
      </c>
      <c r="O116" s="171"/>
      <c r="P116" s="173"/>
      <c r="Q116" s="175">
        <f>U139</f>
        <v>149.37282000000002</v>
      </c>
      <c r="R116" s="177"/>
    </row>
    <row r="117" spans="1:18" s="1" customFormat="1" ht="12.75" customHeight="1">
      <c r="A117" s="48"/>
      <c r="B117" s="48"/>
      <c r="C117" s="48"/>
      <c r="D117" s="88">
        <v>5000</v>
      </c>
      <c r="E117" s="170">
        <f>U134</f>
        <v>215.66070000000002</v>
      </c>
      <c r="F117" s="172"/>
      <c r="G117" s="174"/>
      <c r="H117" s="170">
        <f>U138</f>
        <v>285.59159999999997</v>
      </c>
      <c r="I117" s="172"/>
      <c r="J117" s="174"/>
      <c r="K117" s="170">
        <f>U136</f>
        <v>98.122500000000002</v>
      </c>
      <c r="L117" s="172"/>
      <c r="M117" s="174"/>
      <c r="N117" s="170">
        <f>U140</f>
        <v>746.86410000000012</v>
      </c>
      <c r="O117" s="172"/>
      <c r="P117" s="174"/>
      <c r="Q117" s="176">
        <f>U140</f>
        <v>746.86410000000012</v>
      </c>
      <c r="R117" s="178"/>
    </row>
    <row r="118" spans="1:18" s="1" customFormat="1" ht="12.75" customHeight="1">
      <c r="A118" s="48"/>
      <c r="B118" s="48"/>
      <c r="C118" s="48"/>
      <c r="D118" s="88">
        <v>10000</v>
      </c>
      <c r="E118" s="170">
        <f>E117*2</f>
        <v>431.32140000000004</v>
      </c>
      <c r="F118" s="172"/>
      <c r="G118" s="174"/>
      <c r="H118" s="170">
        <f>H117*2</f>
        <v>571.18319999999994</v>
      </c>
      <c r="I118" s="172"/>
      <c r="J118" s="174"/>
      <c r="K118" s="170">
        <f>K117*2</f>
        <v>196.245</v>
      </c>
      <c r="L118" s="172"/>
      <c r="M118" s="174"/>
      <c r="N118" s="170">
        <f>N117*2</f>
        <v>1493.7282000000002</v>
      </c>
      <c r="O118" s="172"/>
      <c r="P118" s="174"/>
      <c r="Q118" s="170">
        <f>Q117*2</f>
        <v>1493.7282000000002</v>
      </c>
      <c r="R118" s="178"/>
    </row>
    <row r="119" spans="1:18" s="1" customFormat="1" ht="12.75" customHeight="1">
      <c r="A119" s="48"/>
      <c r="B119" s="48"/>
      <c r="C119" s="48"/>
      <c r="D119" s="88">
        <v>50000</v>
      </c>
      <c r="E119" s="179">
        <f>E117*10</f>
        <v>2156.607</v>
      </c>
      <c r="F119" s="180"/>
      <c r="G119" s="181"/>
      <c r="H119" s="179">
        <f>H117*10</f>
        <v>2855.9159999999997</v>
      </c>
      <c r="I119" s="180"/>
      <c r="J119" s="181"/>
      <c r="K119" s="179">
        <f>K117*10</f>
        <v>981.22500000000002</v>
      </c>
      <c r="L119" s="180"/>
      <c r="M119" s="181"/>
      <c r="N119" s="179">
        <f>N117*10</f>
        <v>7468.6410000000014</v>
      </c>
      <c r="O119" s="180"/>
      <c r="P119" s="181"/>
      <c r="Q119" s="179">
        <f>Q117*10</f>
        <v>7468.6410000000014</v>
      </c>
      <c r="R119" s="182"/>
    </row>
    <row r="120" spans="1:18" s="1" customFormat="1" ht="12.75" customHeight="1">
      <c r="A120" s="48"/>
      <c r="B120" s="48"/>
      <c r="C120" s="48"/>
      <c r="D120" s="88"/>
      <c r="E120" s="5"/>
      <c r="F120" s="5"/>
      <c r="G120" s="5"/>
      <c r="H120" s="5"/>
      <c r="I120" s="5"/>
      <c r="J120" s="5"/>
      <c r="K120" s="5"/>
      <c r="L120" s="5"/>
      <c r="M120" s="5"/>
      <c r="N120" s="5"/>
      <c r="O120" s="5"/>
      <c r="P120" s="5"/>
      <c r="Q120" s="121"/>
      <c r="R120" s="119"/>
    </row>
    <row r="121" spans="1:18" s="1" customFormat="1" ht="12.75" customHeight="1">
      <c r="A121" s="48"/>
      <c r="B121" s="48"/>
      <c r="C121" s="48"/>
      <c r="D121" s="106" t="s">
        <v>251</v>
      </c>
      <c r="E121" s="438" t="s">
        <v>252</v>
      </c>
      <c r="F121" s="438"/>
      <c r="G121" s="438"/>
      <c r="H121" s="438"/>
      <c r="I121" s="438"/>
      <c r="J121" s="438"/>
      <c r="K121" s="438"/>
      <c r="L121" s="438"/>
      <c r="M121" s="438"/>
      <c r="N121" s="438"/>
      <c r="O121" s="438"/>
      <c r="P121" s="438"/>
      <c r="Q121" s="438"/>
      <c r="R121" s="439"/>
    </row>
    <row r="122" spans="1:18" s="1" customFormat="1" ht="12.75" customHeight="1">
      <c r="A122" s="48"/>
      <c r="B122" s="48"/>
      <c r="C122" s="48"/>
      <c r="D122" s="88">
        <f>D116*240*365/1000000</f>
        <v>87.6</v>
      </c>
      <c r="E122" s="169">
        <f>E116</f>
        <v>43.132139999999993</v>
      </c>
      <c r="F122" s="171"/>
      <c r="G122" s="173"/>
      <c r="H122" s="169">
        <f>H116</f>
        <v>57.118319999999997</v>
      </c>
      <c r="I122" s="171"/>
      <c r="J122" s="173"/>
      <c r="K122" s="169">
        <f>K116</f>
        <v>19.624500000000001</v>
      </c>
      <c r="L122" s="171"/>
      <c r="M122" s="173"/>
      <c r="N122" s="169">
        <f>N116</f>
        <v>149.37282000000002</v>
      </c>
      <c r="O122" s="171"/>
      <c r="P122" s="173"/>
      <c r="Q122" s="175">
        <f>Q116</f>
        <v>149.37282000000002</v>
      </c>
      <c r="R122" s="177"/>
    </row>
    <row r="123" spans="1:18" s="1" customFormat="1" ht="12.75" customHeight="1">
      <c r="A123" s="48"/>
      <c r="B123" s="48"/>
      <c r="C123" s="48"/>
      <c r="D123" s="88">
        <f>D117*240*365/1000000</f>
        <v>438</v>
      </c>
      <c r="E123" s="170">
        <f>E117</f>
        <v>215.66070000000002</v>
      </c>
      <c r="F123" s="172"/>
      <c r="G123" s="174"/>
      <c r="H123" s="170">
        <f>H117</f>
        <v>285.59159999999997</v>
      </c>
      <c r="I123" s="172"/>
      <c r="J123" s="174"/>
      <c r="K123" s="170">
        <f>K117</f>
        <v>98.122500000000002</v>
      </c>
      <c r="L123" s="172"/>
      <c r="M123" s="174"/>
      <c r="N123" s="170">
        <f>N117</f>
        <v>746.86410000000012</v>
      </c>
      <c r="O123" s="172"/>
      <c r="P123" s="174"/>
      <c r="Q123" s="176">
        <f>Q117</f>
        <v>746.86410000000012</v>
      </c>
      <c r="R123" s="178"/>
    </row>
    <row r="124" spans="1:18" s="1" customFormat="1" ht="12.75" customHeight="1">
      <c r="A124" s="48"/>
      <c r="B124" s="48"/>
      <c r="C124" s="48"/>
      <c r="D124" s="88">
        <f>D118*240*365/1000000</f>
        <v>876</v>
      </c>
      <c r="E124" s="170">
        <f>E118</f>
        <v>431.32140000000004</v>
      </c>
      <c r="F124" s="172"/>
      <c r="G124" s="174"/>
      <c r="H124" s="170">
        <f>H118</f>
        <v>571.18319999999994</v>
      </c>
      <c r="I124" s="172"/>
      <c r="J124" s="174"/>
      <c r="K124" s="170">
        <f>K118</f>
        <v>196.245</v>
      </c>
      <c r="L124" s="172"/>
      <c r="M124" s="174"/>
      <c r="N124" s="170">
        <f>N118</f>
        <v>1493.7282000000002</v>
      </c>
      <c r="O124" s="172"/>
      <c r="P124" s="174"/>
      <c r="Q124" s="176">
        <f>Q118</f>
        <v>1493.7282000000002</v>
      </c>
      <c r="R124" s="178"/>
    </row>
    <row r="125" spans="1:18" s="1" customFormat="1" ht="12.75" customHeight="1">
      <c r="A125" s="48"/>
      <c r="B125" s="48"/>
      <c r="C125" s="48"/>
      <c r="D125" s="88">
        <f>D119*240*365/1000000</f>
        <v>4380</v>
      </c>
      <c r="E125" s="170">
        <f>E119</f>
        <v>2156.607</v>
      </c>
      <c r="F125" s="172"/>
      <c r="G125" s="174"/>
      <c r="H125" s="170">
        <f>H119</f>
        <v>2855.9159999999997</v>
      </c>
      <c r="I125" s="172"/>
      <c r="J125" s="174"/>
      <c r="K125" s="170">
        <f>K119</f>
        <v>981.22500000000002</v>
      </c>
      <c r="L125" s="172"/>
      <c r="M125" s="174"/>
      <c r="N125" s="170">
        <f>N119</f>
        <v>7468.6410000000014</v>
      </c>
      <c r="O125" s="172"/>
      <c r="P125" s="174"/>
      <c r="Q125" s="170">
        <f>Q119</f>
        <v>7468.6410000000014</v>
      </c>
      <c r="R125" s="174"/>
    </row>
    <row r="126" spans="1:18" s="1" customFormat="1" ht="12.75" customHeight="1">
      <c r="A126" s="48"/>
      <c r="B126" s="48"/>
      <c r="C126" s="48"/>
      <c r="D126" s="107">
        <f>D125*3</f>
        <v>13140</v>
      </c>
      <c r="E126" s="179">
        <f>E125*3</f>
        <v>6469.8209999999999</v>
      </c>
      <c r="F126" s="180"/>
      <c r="G126" s="181"/>
      <c r="H126" s="179">
        <f>H125*3</f>
        <v>8567.7479999999996</v>
      </c>
      <c r="I126" s="180"/>
      <c r="J126" s="181"/>
      <c r="K126" s="179">
        <f>K125*3</f>
        <v>2943.6750000000002</v>
      </c>
      <c r="L126" s="180"/>
      <c r="M126" s="181"/>
      <c r="N126" s="179">
        <f>N125*3</f>
        <v>22405.923000000003</v>
      </c>
      <c r="O126" s="180"/>
      <c r="P126" s="181"/>
      <c r="Q126" s="179">
        <f>Q125*3</f>
        <v>22405.923000000003</v>
      </c>
      <c r="R126" s="181"/>
    </row>
    <row r="127" spans="1:18" s="1" customFormat="1" ht="12.75" customHeight="1">
      <c r="A127" s="48"/>
      <c r="B127" s="48"/>
      <c r="C127" s="48"/>
      <c r="D127" s="79"/>
      <c r="E127" s="79"/>
      <c r="F127" s="79"/>
      <c r="G127" s="79"/>
      <c r="H127" s="79"/>
      <c r="I127" s="79"/>
      <c r="J127" s="79"/>
      <c r="K127" s="79"/>
      <c r="L127" s="79"/>
      <c r="M127" s="79"/>
      <c r="N127" s="79"/>
      <c r="O127" s="79"/>
      <c r="P127" s="79"/>
      <c r="Q127" s="79"/>
      <c r="R127" s="120"/>
    </row>
    <row r="128" spans="1:18" s="1" customFormat="1" ht="12.75" customHeight="1">
      <c r="A128" s="48"/>
      <c r="B128" s="48"/>
      <c r="C128" s="48"/>
      <c r="D128" s="79"/>
      <c r="E128" s="79"/>
      <c r="F128" s="79"/>
      <c r="G128" s="79"/>
      <c r="H128" s="79"/>
      <c r="I128" s="79"/>
      <c r="J128" s="79"/>
      <c r="K128" s="79"/>
      <c r="L128" s="79"/>
      <c r="M128" s="79"/>
      <c r="N128" s="79"/>
      <c r="O128" s="79"/>
      <c r="P128" s="79"/>
      <c r="Q128" s="79"/>
      <c r="R128" s="120"/>
    </row>
    <row r="129" spans="1:36" s="1" customFormat="1" ht="12.75" customHeight="1">
      <c r="A129" s="48"/>
      <c r="B129" s="48"/>
      <c r="C129" s="48"/>
      <c r="D129"/>
      <c r="E129"/>
      <c r="F129"/>
      <c r="G129"/>
      <c r="H129"/>
      <c r="I129"/>
      <c r="J129"/>
      <c r="K129"/>
      <c r="L129"/>
      <c r="M129"/>
      <c r="N129"/>
      <c r="O129"/>
      <c r="P129"/>
    </row>
    <row r="130" spans="1:36" s="1" customFormat="1" ht="20.25" customHeight="1" thickBot="1">
      <c r="A130" s="48" t="s">
        <v>255</v>
      </c>
      <c r="B130" s="48"/>
      <c r="C130" s="48"/>
    </row>
    <row r="131" spans="1:36" ht="51" customHeight="1">
      <c r="A131" s="77" t="s">
        <v>232</v>
      </c>
      <c r="B131" s="115"/>
      <c r="C131" s="78"/>
      <c r="D131" s="29" t="s">
        <v>128</v>
      </c>
      <c r="E131" s="29" t="s">
        <v>227</v>
      </c>
      <c r="F131" s="52" t="s">
        <v>230</v>
      </c>
      <c r="G131" s="52" t="s">
        <v>233</v>
      </c>
      <c r="H131" s="52" t="s">
        <v>234</v>
      </c>
      <c r="I131" s="52" t="s">
        <v>127</v>
      </c>
      <c r="J131" s="52" t="s">
        <v>2</v>
      </c>
      <c r="K131" s="52"/>
      <c r="L131" s="52" t="s">
        <v>235</v>
      </c>
      <c r="M131" s="52" t="s">
        <v>236</v>
      </c>
      <c r="N131" s="52" t="s">
        <v>228</v>
      </c>
      <c r="O131" s="52" t="s">
        <v>231</v>
      </c>
      <c r="P131" s="52" t="s">
        <v>434</v>
      </c>
      <c r="Q131" s="29" t="s">
        <v>433</v>
      </c>
      <c r="R131" s="52" t="s">
        <v>222</v>
      </c>
      <c r="S131" s="52" t="s">
        <v>223</v>
      </c>
      <c r="U131" s="30" t="s">
        <v>221</v>
      </c>
      <c r="AH131" s="83"/>
      <c r="AI131" s="83"/>
      <c r="AJ131" s="83"/>
    </row>
    <row r="132" spans="1:36" s="72" customFormat="1" ht="51" customHeight="1">
      <c r="A132" s="82"/>
      <c r="B132" s="116"/>
      <c r="C132" s="67"/>
      <c r="D132" s="68"/>
      <c r="E132" s="68"/>
      <c r="F132" s="69"/>
      <c r="G132" s="70" t="s">
        <v>224</v>
      </c>
      <c r="H132" s="69" t="s">
        <v>439</v>
      </c>
      <c r="I132" s="69" t="s">
        <v>225</v>
      </c>
      <c r="J132" s="69" t="s">
        <v>7</v>
      </c>
      <c r="K132" s="69"/>
      <c r="L132" s="69" t="s">
        <v>65</v>
      </c>
      <c r="M132" s="69" t="s">
        <v>226</v>
      </c>
      <c r="N132" s="70" t="s">
        <v>229</v>
      </c>
      <c r="O132" s="69" t="s">
        <v>38</v>
      </c>
      <c r="P132" s="69" t="s">
        <v>440</v>
      </c>
      <c r="Q132" s="68"/>
      <c r="R132" s="69"/>
      <c r="S132" s="69"/>
      <c r="U132" s="71"/>
      <c r="AH132" s="83"/>
      <c r="AI132" s="83"/>
      <c r="AJ132" s="83"/>
    </row>
    <row r="133" spans="1:36" ht="17.25" customHeight="1">
      <c r="A133" s="73" t="s">
        <v>37</v>
      </c>
      <c r="B133" s="117"/>
      <c r="C133" s="50"/>
      <c r="D133" s="37">
        <v>0.2</v>
      </c>
      <c r="E133" s="37">
        <v>0.2</v>
      </c>
      <c r="F133" s="53">
        <v>1000</v>
      </c>
      <c r="G133" s="53">
        <f>F133*0.0585</f>
        <v>58.5</v>
      </c>
      <c r="H133" s="53">
        <f>0.6*G133</f>
        <v>35.1</v>
      </c>
      <c r="I133" s="53">
        <v>240</v>
      </c>
      <c r="J133" s="62">
        <f>M133</f>
        <v>32.292000000000002</v>
      </c>
      <c r="K133" s="62"/>
      <c r="L133" s="62">
        <f>0.08*G133</f>
        <v>4.68</v>
      </c>
      <c r="M133" s="62">
        <f t="shared" ref="M133:M152" si="0">H133*(1-E133*0.4)</f>
        <v>32.292000000000002</v>
      </c>
      <c r="N133" s="62">
        <f>0.036*0.16*F133</f>
        <v>5.76</v>
      </c>
      <c r="O133" s="62">
        <f>J133*0.05</f>
        <v>1.6146000000000003</v>
      </c>
      <c r="P133" s="62">
        <f>0.05*J133</f>
        <v>1.6146000000000003</v>
      </c>
      <c r="Q133" s="81">
        <f>N133-P133</f>
        <v>4.1453999999999995</v>
      </c>
      <c r="R133" s="165">
        <f t="shared" ref="R133:R152" si="1">((G133-H133-L133)*D133*5.3)+((H133-M133)*D133*5.3)</f>
        <v>22.819679999999998</v>
      </c>
      <c r="S133" s="165">
        <f>(N133-P133-Q133)*4.9+Q133*4.9</f>
        <v>20.312459999999998</v>
      </c>
      <c r="U133" s="166">
        <f t="shared" ref="U133:U152" si="2">SUM(R133,S133)</f>
        <v>43.132139999999993</v>
      </c>
    </row>
    <row r="134" spans="1:36" ht="17.25" customHeight="1">
      <c r="A134" s="75"/>
      <c r="B134" s="35"/>
      <c r="C134" s="65"/>
      <c r="D134" s="55">
        <v>0.2</v>
      </c>
      <c r="E134" s="55">
        <v>0.2</v>
      </c>
      <c r="F134" s="56">
        <v>5000</v>
      </c>
      <c r="G134" s="56">
        <f t="shared" ref="G134:G152" si="3">F134*0.0585</f>
        <v>292.5</v>
      </c>
      <c r="H134" s="56">
        <f t="shared" ref="H134:H152" si="4">0.6*G134</f>
        <v>175.5</v>
      </c>
      <c r="I134" s="56">
        <v>240</v>
      </c>
      <c r="J134" s="63">
        <f t="shared" ref="J134:J152" si="5">M134</f>
        <v>161.45999999999998</v>
      </c>
      <c r="K134" s="63"/>
      <c r="L134" s="63">
        <f t="shared" ref="L134:L152" si="6">0.08*G134</f>
        <v>23.400000000000002</v>
      </c>
      <c r="M134" s="63">
        <f t="shared" si="0"/>
        <v>161.45999999999998</v>
      </c>
      <c r="N134" s="64">
        <f t="shared" ref="N134:N152" si="7">0.036*0.16*F134</f>
        <v>28.799999999999997</v>
      </c>
      <c r="O134" s="64">
        <f t="shared" ref="O134:O152" si="8">J134*0.05</f>
        <v>8.0729999999999986</v>
      </c>
      <c r="P134" s="64">
        <f t="shared" ref="P134:P152" si="9">0.05*J134</f>
        <v>8.0729999999999986</v>
      </c>
      <c r="Q134" s="80">
        <f t="shared" ref="Q134:Q152" si="10">N134-P134</f>
        <v>20.726999999999997</v>
      </c>
      <c r="R134" s="163">
        <f t="shared" si="1"/>
        <v>114.09840000000001</v>
      </c>
      <c r="S134" s="163">
        <f t="shared" ref="S134:S152" si="11">(N134-P134-Q134)*4.9+Q134*4.9</f>
        <v>101.56229999999999</v>
      </c>
      <c r="U134" s="164">
        <f t="shared" si="2"/>
        <v>215.66070000000002</v>
      </c>
    </row>
    <row r="135" spans="1:36" ht="17.25" customHeight="1">
      <c r="A135" s="73" t="s">
        <v>39</v>
      </c>
      <c r="B135" s="117"/>
      <c r="C135" s="50"/>
      <c r="D135" s="37">
        <v>0</v>
      </c>
      <c r="E135" s="37">
        <v>0</v>
      </c>
      <c r="F135" s="53">
        <v>1000</v>
      </c>
      <c r="G135" s="53">
        <f t="shared" si="3"/>
        <v>58.5</v>
      </c>
      <c r="H135" s="53">
        <f t="shared" si="4"/>
        <v>35.1</v>
      </c>
      <c r="I135" s="53">
        <v>240</v>
      </c>
      <c r="J135" s="62">
        <f t="shared" si="5"/>
        <v>35.1</v>
      </c>
      <c r="K135" s="62"/>
      <c r="L135" s="62">
        <f t="shared" si="6"/>
        <v>4.68</v>
      </c>
      <c r="M135" s="62">
        <f t="shared" si="0"/>
        <v>35.1</v>
      </c>
      <c r="N135" s="62">
        <f t="shared" si="7"/>
        <v>5.76</v>
      </c>
      <c r="O135" s="62">
        <f t="shared" si="8"/>
        <v>1.7550000000000001</v>
      </c>
      <c r="P135" s="62">
        <f t="shared" si="9"/>
        <v>1.7550000000000001</v>
      </c>
      <c r="Q135" s="81">
        <f t="shared" si="10"/>
        <v>4.0049999999999999</v>
      </c>
      <c r="R135" s="165">
        <f t="shared" si="1"/>
        <v>0</v>
      </c>
      <c r="S135" s="165">
        <f t="shared" si="11"/>
        <v>19.624500000000001</v>
      </c>
      <c r="U135" s="166">
        <f t="shared" si="2"/>
        <v>19.624500000000001</v>
      </c>
    </row>
    <row r="136" spans="1:36" ht="17.25" customHeight="1">
      <c r="A136" s="74"/>
      <c r="B136" s="118"/>
      <c r="C136" s="54"/>
      <c r="D136" s="55">
        <v>0</v>
      </c>
      <c r="E136" s="55">
        <v>0</v>
      </c>
      <c r="F136" s="56">
        <v>5000</v>
      </c>
      <c r="G136" s="56">
        <f t="shared" si="3"/>
        <v>292.5</v>
      </c>
      <c r="H136" s="56">
        <f t="shared" si="4"/>
        <v>175.5</v>
      </c>
      <c r="I136" s="56">
        <v>240</v>
      </c>
      <c r="J136" s="63">
        <f t="shared" si="5"/>
        <v>175.5</v>
      </c>
      <c r="K136" s="63"/>
      <c r="L136" s="63">
        <f t="shared" si="6"/>
        <v>23.400000000000002</v>
      </c>
      <c r="M136" s="63">
        <f t="shared" si="0"/>
        <v>175.5</v>
      </c>
      <c r="N136" s="63">
        <f t="shared" si="7"/>
        <v>28.799999999999997</v>
      </c>
      <c r="O136" s="63">
        <f t="shared" si="8"/>
        <v>8.7750000000000004</v>
      </c>
      <c r="P136" s="63">
        <f t="shared" si="9"/>
        <v>8.7750000000000004</v>
      </c>
      <c r="Q136" s="400">
        <f t="shared" si="10"/>
        <v>20.024999999999999</v>
      </c>
      <c r="R136" s="167">
        <f t="shared" si="1"/>
        <v>0</v>
      </c>
      <c r="S136" s="167">
        <f t="shared" si="11"/>
        <v>98.122500000000002</v>
      </c>
      <c r="U136" s="168">
        <f t="shared" si="2"/>
        <v>98.122500000000002</v>
      </c>
    </row>
    <row r="137" spans="1:36" ht="17.25" customHeight="1">
      <c r="A137" s="73" t="s">
        <v>40</v>
      </c>
      <c r="B137" s="117"/>
      <c r="C137" s="50"/>
      <c r="D137" s="37">
        <v>0.3</v>
      </c>
      <c r="E137" s="37">
        <v>0.3</v>
      </c>
      <c r="F137" s="53">
        <v>1000</v>
      </c>
      <c r="G137" s="53">
        <f t="shared" si="3"/>
        <v>58.5</v>
      </c>
      <c r="H137" s="53">
        <f t="shared" si="4"/>
        <v>35.1</v>
      </c>
      <c r="I137" s="53">
        <v>240</v>
      </c>
      <c r="J137" s="62">
        <f t="shared" si="5"/>
        <v>30.888000000000002</v>
      </c>
      <c r="K137" s="62"/>
      <c r="L137" s="62">
        <f t="shared" si="6"/>
        <v>4.68</v>
      </c>
      <c r="M137" s="62">
        <f t="shared" si="0"/>
        <v>30.888000000000002</v>
      </c>
      <c r="N137" s="62">
        <f t="shared" si="7"/>
        <v>5.76</v>
      </c>
      <c r="O137" s="62">
        <f t="shared" si="8"/>
        <v>1.5444000000000002</v>
      </c>
      <c r="P137" s="62">
        <f t="shared" si="9"/>
        <v>1.5444000000000002</v>
      </c>
      <c r="Q137" s="81">
        <f t="shared" si="10"/>
        <v>4.2155999999999993</v>
      </c>
      <c r="R137" s="165">
        <f t="shared" si="1"/>
        <v>36.461879999999994</v>
      </c>
      <c r="S137" s="165">
        <f t="shared" si="11"/>
        <v>20.65644</v>
      </c>
      <c r="U137" s="166">
        <f t="shared" si="2"/>
        <v>57.118319999999997</v>
      </c>
    </row>
    <row r="138" spans="1:36" ht="17.25" customHeight="1">
      <c r="A138" s="75"/>
      <c r="B138" s="35"/>
      <c r="C138" s="65"/>
      <c r="D138" s="55">
        <v>0.3</v>
      </c>
      <c r="E138" s="55">
        <v>0.3</v>
      </c>
      <c r="F138" s="56">
        <v>5000</v>
      </c>
      <c r="G138" s="56">
        <f t="shared" si="3"/>
        <v>292.5</v>
      </c>
      <c r="H138" s="56">
        <f t="shared" si="4"/>
        <v>175.5</v>
      </c>
      <c r="I138" s="56">
        <v>240</v>
      </c>
      <c r="J138" s="63">
        <f t="shared" si="5"/>
        <v>154.44</v>
      </c>
      <c r="K138" s="63"/>
      <c r="L138" s="63">
        <f t="shared" si="6"/>
        <v>23.400000000000002</v>
      </c>
      <c r="M138" s="63">
        <f t="shared" si="0"/>
        <v>154.44</v>
      </c>
      <c r="N138" s="64">
        <f t="shared" si="7"/>
        <v>28.799999999999997</v>
      </c>
      <c r="O138" s="64">
        <f t="shared" si="8"/>
        <v>7.7220000000000004</v>
      </c>
      <c r="P138" s="64">
        <f t="shared" si="9"/>
        <v>7.7220000000000004</v>
      </c>
      <c r="Q138" s="80">
        <f t="shared" si="10"/>
        <v>21.077999999999996</v>
      </c>
      <c r="R138" s="163">
        <f t="shared" si="1"/>
        <v>182.30939999999998</v>
      </c>
      <c r="S138" s="163">
        <f t="shared" si="11"/>
        <v>103.28219999999999</v>
      </c>
      <c r="U138" s="164">
        <f t="shared" si="2"/>
        <v>285.59159999999997</v>
      </c>
    </row>
    <row r="139" spans="1:36" ht="17.25" customHeight="1">
      <c r="A139" s="73" t="s">
        <v>355</v>
      </c>
      <c r="B139" s="117"/>
      <c r="C139" s="50"/>
      <c r="D139" s="37">
        <v>0.8</v>
      </c>
      <c r="E139" s="37">
        <v>0.8</v>
      </c>
      <c r="F139" s="53">
        <v>1000</v>
      </c>
      <c r="G139" s="53">
        <f t="shared" si="3"/>
        <v>58.5</v>
      </c>
      <c r="H139" s="53">
        <f t="shared" si="4"/>
        <v>35.1</v>
      </c>
      <c r="I139" s="53">
        <v>240</v>
      </c>
      <c r="J139" s="62">
        <f t="shared" si="5"/>
        <v>23.867999999999999</v>
      </c>
      <c r="K139" s="62"/>
      <c r="L139" s="62">
        <f t="shared" si="6"/>
        <v>4.68</v>
      </c>
      <c r="M139" s="62">
        <f t="shared" si="0"/>
        <v>23.867999999999999</v>
      </c>
      <c r="N139" s="62">
        <f t="shared" si="7"/>
        <v>5.76</v>
      </c>
      <c r="O139" s="62">
        <f t="shared" si="8"/>
        <v>1.1934</v>
      </c>
      <c r="P139" s="62">
        <f t="shared" si="9"/>
        <v>1.1934</v>
      </c>
      <c r="Q139" s="81">
        <f t="shared" si="10"/>
        <v>4.5665999999999993</v>
      </c>
      <c r="R139" s="165">
        <f t="shared" si="1"/>
        <v>126.99648000000002</v>
      </c>
      <c r="S139" s="165">
        <f t="shared" si="11"/>
        <v>22.376339999999999</v>
      </c>
      <c r="U139" s="166">
        <f t="shared" si="2"/>
        <v>149.37282000000002</v>
      </c>
    </row>
    <row r="140" spans="1:36" ht="17.25" customHeight="1">
      <c r="A140" s="75"/>
      <c r="B140" s="35"/>
      <c r="C140" s="65"/>
      <c r="D140" s="55">
        <v>0.8</v>
      </c>
      <c r="E140" s="55">
        <v>0.8</v>
      </c>
      <c r="F140" s="56">
        <v>5000</v>
      </c>
      <c r="G140" s="56">
        <f t="shared" si="3"/>
        <v>292.5</v>
      </c>
      <c r="H140" s="56">
        <f t="shared" si="4"/>
        <v>175.5</v>
      </c>
      <c r="I140" s="56">
        <v>240</v>
      </c>
      <c r="J140" s="63">
        <f t="shared" si="5"/>
        <v>119.33999999999999</v>
      </c>
      <c r="K140" s="63"/>
      <c r="L140" s="63">
        <f t="shared" si="6"/>
        <v>23.400000000000002</v>
      </c>
      <c r="M140" s="63">
        <f t="shared" si="0"/>
        <v>119.33999999999999</v>
      </c>
      <c r="N140" s="64">
        <f t="shared" si="7"/>
        <v>28.799999999999997</v>
      </c>
      <c r="O140" s="64">
        <f t="shared" si="8"/>
        <v>5.9669999999999996</v>
      </c>
      <c r="P140" s="64">
        <f t="shared" si="9"/>
        <v>5.9669999999999996</v>
      </c>
      <c r="Q140" s="80">
        <f t="shared" si="10"/>
        <v>22.832999999999998</v>
      </c>
      <c r="R140" s="163">
        <f t="shared" si="1"/>
        <v>634.9824000000001</v>
      </c>
      <c r="S140" s="163">
        <f t="shared" si="11"/>
        <v>111.8817</v>
      </c>
      <c r="U140" s="164">
        <f t="shared" si="2"/>
        <v>746.86410000000012</v>
      </c>
    </row>
    <row r="141" spans="1:36" ht="17.25" customHeight="1">
      <c r="A141" s="73" t="s">
        <v>41</v>
      </c>
      <c r="B141" s="117"/>
      <c r="C141" s="50"/>
      <c r="D141" s="37">
        <v>0.8</v>
      </c>
      <c r="E141" s="37">
        <v>0.8</v>
      </c>
      <c r="F141" s="53">
        <v>1000</v>
      </c>
      <c r="G141" s="53">
        <f t="shared" si="3"/>
        <v>58.5</v>
      </c>
      <c r="H141" s="53">
        <f t="shared" si="4"/>
        <v>35.1</v>
      </c>
      <c r="I141" s="53">
        <v>240</v>
      </c>
      <c r="J141" s="62">
        <f t="shared" si="5"/>
        <v>23.867999999999999</v>
      </c>
      <c r="K141" s="62"/>
      <c r="L141" s="62">
        <f t="shared" si="6"/>
        <v>4.68</v>
      </c>
      <c r="M141" s="62">
        <f t="shared" si="0"/>
        <v>23.867999999999999</v>
      </c>
      <c r="N141" s="62">
        <f t="shared" si="7"/>
        <v>5.76</v>
      </c>
      <c r="O141" s="62">
        <f t="shared" si="8"/>
        <v>1.1934</v>
      </c>
      <c r="P141" s="62">
        <f t="shared" si="9"/>
        <v>1.1934</v>
      </c>
      <c r="Q141" s="81">
        <f t="shared" si="10"/>
        <v>4.5665999999999993</v>
      </c>
      <c r="R141" s="165">
        <f t="shared" si="1"/>
        <v>126.99648000000002</v>
      </c>
      <c r="S141" s="165">
        <f t="shared" si="11"/>
        <v>22.376339999999999</v>
      </c>
      <c r="U141" s="166">
        <f t="shared" si="2"/>
        <v>149.37282000000002</v>
      </c>
    </row>
    <row r="142" spans="1:36" ht="17.25" customHeight="1">
      <c r="A142" s="74"/>
      <c r="B142" s="118"/>
      <c r="C142" s="54"/>
      <c r="D142" s="55">
        <v>0.8</v>
      </c>
      <c r="E142" s="55">
        <v>0.8</v>
      </c>
      <c r="F142" s="56">
        <v>5000</v>
      </c>
      <c r="G142" s="56">
        <f t="shared" si="3"/>
        <v>292.5</v>
      </c>
      <c r="H142" s="56">
        <f t="shared" si="4"/>
        <v>175.5</v>
      </c>
      <c r="I142" s="56">
        <v>240</v>
      </c>
      <c r="J142" s="63">
        <f t="shared" si="5"/>
        <v>119.33999999999999</v>
      </c>
      <c r="K142" s="63"/>
      <c r="L142" s="63">
        <f t="shared" si="6"/>
        <v>23.400000000000002</v>
      </c>
      <c r="M142" s="63">
        <f t="shared" si="0"/>
        <v>119.33999999999999</v>
      </c>
      <c r="N142" s="63">
        <f t="shared" si="7"/>
        <v>28.799999999999997</v>
      </c>
      <c r="O142" s="63">
        <f t="shared" si="8"/>
        <v>5.9669999999999996</v>
      </c>
      <c r="P142" s="63">
        <f t="shared" si="9"/>
        <v>5.9669999999999996</v>
      </c>
      <c r="Q142" s="400">
        <f t="shared" si="10"/>
        <v>22.832999999999998</v>
      </c>
      <c r="R142" s="167">
        <f t="shared" si="1"/>
        <v>634.9824000000001</v>
      </c>
      <c r="S142" s="167">
        <f t="shared" si="11"/>
        <v>111.8817</v>
      </c>
      <c r="U142" s="168">
        <f t="shared" si="2"/>
        <v>746.86410000000012</v>
      </c>
    </row>
    <row r="143" spans="1:36" ht="17.25" customHeight="1">
      <c r="A143" s="73"/>
      <c r="B143" s="117"/>
      <c r="C143" s="50"/>
      <c r="D143" s="37">
        <v>0</v>
      </c>
      <c r="E143" s="37">
        <v>0</v>
      </c>
      <c r="F143" s="53">
        <v>1000</v>
      </c>
      <c r="G143" s="53">
        <f t="shared" si="3"/>
        <v>58.5</v>
      </c>
      <c r="H143" s="53">
        <f t="shared" si="4"/>
        <v>35.1</v>
      </c>
      <c r="I143" s="53">
        <v>240</v>
      </c>
      <c r="J143" s="62">
        <f t="shared" si="5"/>
        <v>35.1</v>
      </c>
      <c r="K143" s="62"/>
      <c r="L143" s="62">
        <f t="shared" si="6"/>
        <v>4.68</v>
      </c>
      <c r="M143" s="62">
        <f t="shared" si="0"/>
        <v>35.1</v>
      </c>
      <c r="N143" s="62">
        <f t="shared" si="7"/>
        <v>5.76</v>
      </c>
      <c r="O143" s="62">
        <f t="shared" si="8"/>
        <v>1.7550000000000001</v>
      </c>
      <c r="P143" s="62">
        <f t="shared" si="9"/>
        <v>1.7550000000000001</v>
      </c>
      <c r="Q143" s="81">
        <f t="shared" si="10"/>
        <v>4.0049999999999999</v>
      </c>
      <c r="R143" s="165">
        <f t="shared" si="1"/>
        <v>0</v>
      </c>
      <c r="S143" s="165">
        <f t="shared" si="11"/>
        <v>19.624500000000001</v>
      </c>
      <c r="U143" s="166">
        <f t="shared" si="2"/>
        <v>19.624500000000001</v>
      </c>
    </row>
    <row r="144" spans="1:36" ht="17.25" customHeight="1">
      <c r="A144" s="74"/>
      <c r="B144" s="118"/>
      <c r="C144" s="54"/>
      <c r="D144" s="55">
        <v>0</v>
      </c>
      <c r="E144" s="55">
        <v>0</v>
      </c>
      <c r="F144" s="56">
        <v>5000</v>
      </c>
      <c r="G144" s="56">
        <f t="shared" si="3"/>
        <v>292.5</v>
      </c>
      <c r="H144" s="56">
        <f t="shared" si="4"/>
        <v>175.5</v>
      </c>
      <c r="I144" s="56">
        <v>240</v>
      </c>
      <c r="J144" s="63">
        <f t="shared" si="5"/>
        <v>175.5</v>
      </c>
      <c r="K144" s="63"/>
      <c r="L144" s="63">
        <f t="shared" si="6"/>
        <v>23.400000000000002</v>
      </c>
      <c r="M144" s="63">
        <f t="shared" si="0"/>
        <v>175.5</v>
      </c>
      <c r="N144" s="63">
        <f t="shared" si="7"/>
        <v>28.799999999999997</v>
      </c>
      <c r="O144" s="63">
        <f t="shared" si="8"/>
        <v>8.7750000000000004</v>
      </c>
      <c r="P144" s="63">
        <f t="shared" si="9"/>
        <v>8.7750000000000004</v>
      </c>
      <c r="Q144" s="400">
        <f t="shared" si="10"/>
        <v>20.024999999999999</v>
      </c>
      <c r="R144" s="167">
        <f t="shared" si="1"/>
        <v>0</v>
      </c>
      <c r="S144" s="167">
        <f t="shared" si="11"/>
        <v>98.122500000000002</v>
      </c>
      <c r="U144" s="168">
        <f t="shared" si="2"/>
        <v>98.122500000000002</v>
      </c>
    </row>
    <row r="145" spans="1:21" ht="17.25" customHeight="1">
      <c r="A145" s="73"/>
      <c r="B145" s="117"/>
      <c r="C145" s="50"/>
      <c r="D145" s="37">
        <v>0</v>
      </c>
      <c r="E145" s="37">
        <v>0</v>
      </c>
      <c r="F145" s="53">
        <v>1000</v>
      </c>
      <c r="G145" s="53">
        <f t="shared" si="3"/>
        <v>58.5</v>
      </c>
      <c r="H145" s="53">
        <f t="shared" si="4"/>
        <v>35.1</v>
      </c>
      <c r="I145" s="53">
        <v>240</v>
      </c>
      <c r="J145" s="62">
        <f t="shared" si="5"/>
        <v>35.1</v>
      </c>
      <c r="K145" s="62"/>
      <c r="L145" s="62">
        <f t="shared" si="6"/>
        <v>4.68</v>
      </c>
      <c r="M145" s="62">
        <f t="shared" si="0"/>
        <v>35.1</v>
      </c>
      <c r="N145" s="62">
        <f t="shared" si="7"/>
        <v>5.76</v>
      </c>
      <c r="O145" s="62">
        <f t="shared" si="8"/>
        <v>1.7550000000000001</v>
      </c>
      <c r="P145" s="62">
        <f t="shared" si="9"/>
        <v>1.7550000000000001</v>
      </c>
      <c r="Q145" s="81">
        <f t="shared" si="10"/>
        <v>4.0049999999999999</v>
      </c>
      <c r="R145" s="165">
        <f t="shared" si="1"/>
        <v>0</v>
      </c>
      <c r="S145" s="165">
        <f t="shared" si="11"/>
        <v>19.624500000000001</v>
      </c>
      <c r="U145" s="166">
        <f t="shared" si="2"/>
        <v>19.624500000000001</v>
      </c>
    </row>
    <row r="146" spans="1:21" ht="17.25" customHeight="1">
      <c r="A146" s="74"/>
      <c r="B146" s="118"/>
      <c r="C146" s="54"/>
      <c r="D146" s="55">
        <v>0</v>
      </c>
      <c r="E146" s="55">
        <v>0</v>
      </c>
      <c r="F146" s="56">
        <v>5000</v>
      </c>
      <c r="G146" s="56">
        <f t="shared" si="3"/>
        <v>292.5</v>
      </c>
      <c r="H146" s="56">
        <f t="shared" si="4"/>
        <v>175.5</v>
      </c>
      <c r="I146" s="56">
        <v>240</v>
      </c>
      <c r="J146" s="63">
        <f t="shared" si="5"/>
        <v>175.5</v>
      </c>
      <c r="K146" s="63"/>
      <c r="L146" s="63">
        <f t="shared" si="6"/>
        <v>23.400000000000002</v>
      </c>
      <c r="M146" s="63">
        <f t="shared" si="0"/>
        <v>175.5</v>
      </c>
      <c r="N146" s="63">
        <f t="shared" si="7"/>
        <v>28.799999999999997</v>
      </c>
      <c r="O146" s="63">
        <f t="shared" si="8"/>
        <v>8.7750000000000004</v>
      </c>
      <c r="P146" s="63">
        <f t="shared" si="9"/>
        <v>8.7750000000000004</v>
      </c>
      <c r="Q146" s="400">
        <f t="shared" si="10"/>
        <v>20.024999999999999</v>
      </c>
      <c r="R146" s="167">
        <f t="shared" si="1"/>
        <v>0</v>
      </c>
      <c r="S146" s="167">
        <f t="shared" si="11"/>
        <v>98.122500000000002</v>
      </c>
      <c r="U146" s="168">
        <f t="shared" si="2"/>
        <v>98.122500000000002</v>
      </c>
    </row>
    <row r="147" spans="1:21" ht="17.25" customHeight="1">
      <c r="A147" s="73"/>
      <c r="B147" s="117"/>
      <c r="C147" s="50"/>
      <c r="D147" s="37">
        <v>0.3</v>
      </c>
      <c r="E147" s="37">
        <v>0.3</v>
      </c>
      <c r="F147" s="53">
        <v>1000</v>
      </c>
      <c r="G147" s="53">
        <f t="shared" si="3"/>
        <v>58.5</v>
      </c>
      <c r="H147" s="53">
        <f t="shared" si="4"/>
        <v>35.1</v>
      </c>
      <c r="I147" s="53">
        <v>240</v>
      </c>
      <c r="J147" s="62">
        <f t="shared" si="5"/>
        <v>30.888000000000002</v>
      </c>
      <c r="K147" s="62"/>
      <c r="L147" s="62">
        <f t="shared" si="6"/>
        <v>4.68</v>
      </c>
      <c r="M147" s="62">
        <f t="shared" si="0"/>
        <v>30.888000000000002</v>
      </c>
      <c r="N147" s="62">
        <f t="shared" si="7"/>
        <v>5.76</v>
      </c>
      <c r="O147" s="62">
        <f t="shared" si="8"/>
        <v>1.5444000000000002</v>
      </c>
      <c r="P147" s="62">
        <f t="shared" si="9"/>
        <v>1.5444000000000002</v>
      </c>
      <c r="Q147" s="81">
        <f t="shared" si="10"/>
        <v>4.2155999999999993</v>
      </c>
      <c r="R147" s="165">
        <f t="shared" si="1"/>
        <v>36.461879999999994</v>
      </c>
      <c r="S147" s="165">
        <f t="shared" si="11"/>
        <v>20.65644</v>
      </c>
      <c r="U147" s="166">
        <f t="shared" si="2"/>
        <v>57.118319999999997</v>
      </c>
    </row>
    <row r="148" spans="1:21" ht="17.25" customHeight="1">
      <c r="A148" s="75"/>
      <c r="B148" s="35"/>
      <c r="C148" s="65"/>
      <c r="D148" s="55">
        <v>0.3</v>
      </c>
      <c r="E148" s="55">
        <v>0.3</v>
      </c>
      <c r="F148" s="56">
        <v>5000</v>
      </c>
      <c r="G148" s="56">
        <f t="shared" si="3"/>
        <v>292.5</v>
      </c>
      <c r="H148" s="56">
        <f t="shared" si="4"/>
        <v>175.5</v>
      </c>
      <c r="I148" s="56">
        <v>240</v>
      </c>
      <c r="J148" s="63">
        <f t="shared" si="5"/>
        <v>154.44</v>
      </c>
      <c r="K148" s="63"/>
      <c r="L148" s="63">
        <f t="shared" si="6"/>
        <v>23.400000000000002</v>
      </c>
      <c r="M148" s="63">
        <f t="shared" si="0"/>
        <v>154.44</v>
      </c>
      <c r="N148" s="64">
        <f t="shared" si="7"/>
        <v>28.799999999999997</v>
      </c>
      <c r="O148" s="64">
        <f t="shared" si="8"/>
        <v>7.7220000000000004</v>
      </c>
      <c r="P148" s="80">
        <f t="shared" si="9"/>
        <v>7.7220000000000004</v>
      </c>
      <c r="Q148" s="80">
        <f t="shared" si="10"/>
        <v>21.077999999999996</v>
      </c>
      <c r="R148" s="163">
        <f t="shared" si="1"/>
        <v>182.30939999999998</v>
      </c>
      <c r="S148" s="163">
        <f t="shared" si="11"/>
        <v>103.28219999999999</v>
      </c>
      <c r="U148" s="164">
        <f t="shared" si="2"/>
        <v>285.59159999999997</v>
      </c>
    </row>
    <row r="149" spans="1:21" ht="17.25" customHeight="1">
      <c r="A149" s="73"/>
      <c r="B149" s="117"/>
      <c r="C149" s="50"/>
      <c r="D149" s="37">
        <v>0.3</v>
      </c>
      <c r="E149" s="37">
        <v>0.8</v>
      </c>
      <c r="F149" s="53">
        <v>1000</v>
      </c>
      <c r="G149" s="53">
        <f t="shared" si="3"/>
        <v>58.5</v>
      </c>
      <c r="H149" s="53">
        <f t="shared" si="4"/>
        <v>35.1</v>
      </c>
      <c r="I149" s="53">
        <v>240</v>
      </c>
      <c r="J149" s="62">
        <f t="shared" si="5"/>
        <v>23.867999999999999</v>
      </c>
      <c r="K149" s="62"/>
      <c r="L149" s="62">
        <f t="shared" si="6"/>
        <v>4.68</v>
      </c>
      <c r="M149" s="62">
        <f t="shared" si="0"/>
        <v>23.867999999999999</v>
      </c>
      <c r="N149" s="62">
        <f t="shared" si="7"/>
        <v>5.76</v>
      </c>
      <c r="O149" s="62">
        <f t="shared" si="8"/>
        <v>1.1934</v>
      </c>
      <c r="P149" s="81">
        <f t="shared" si="9"/>
        <v>1.1934</v>
      </c>
      <c r="Q149" s="81">
        <f t="shared" si="10"/>
        <v>4.5665999999999993</v>
      </c>
      <c r="R149" s="165">
        <f t="shared" si="1"/>
        <v>47.62368</v>
      </c>
      <c r="S149" s="165">
        <f t="shared" si="11"/>
        <v>22.376339999999999</v>
      </c>
      <c r="U149" s="166">
        <f t="shared" si="2"/>
        <v>70.000020000000006</v>
      </c>
    </row>
    <row r="150" spans="1:21" ht="17.25" customHeight="1">
      <c r="A150" s="75"/>
      <c r="B150" s="35"/>
      <c r="C150" s="65"/>
      <c r="D150" s="55">
        <v>0.3</v>
      </c>
      <c r="E150" s="55">
        <v>0.8</v>
      </c>
      <c r="F150" s="56">
        <v>5000</v>
      </c>
      <c r="G150" s="56">
        <f t="shared" si="3"/>
        <v>292.5</v>
      </c>
      <c r="H150" s="56">
        <f t="shared" si="4"/>
        <v>175.5</v>
      </c>
      <c r="I150" s="56">
        <v>240</v>
      </c>
      <c r="J150" s="63">
        <f t="shared" si="5"/>
        <v>119.33999999999999</v>
      </c>
      <c r="K150" s="63"/>
      <c r="L150" s="63">
        <f t="shared" si="6"/>
        <v>23.400000000000002</v>
      </c>
      <c r="M150" s="63">
        <f t="shared" si="0"/>
        <v>119.33999999999999</v>
      </c>
      <c r="N150" s="64">
        <f t="shared" si="7"/>
        <v>28.799999999999997</v>
      </c>
      <c r="O150" s="64">
        <f t="shared" si="8"/>
        <v>5.9669999999999996</v>
      </c>
      <c r="P150" s="64">
        <f t="shared" si="9"/>
        <v>5.9669999999999996</v>
      </c>
      <c r="Q150" s="80">
        <f t="shared" si="10"/>
        <v>22.832999999999998</v>
      </c>
      <c r="R150" s="163">
        <f t="shared" si="1"/>
        <v>238.11840000000001</v>
      </c>
      <c r="S150" s="163">
        <f t="shared" si="11"/>
        <v>111.8817</v>
      </c>
      <c r="U150" s="164">
        <f t="shared" si="2"/>
        <v>350.00009999999997</v>
      </c>
    </row>
    <row r="151" spans="1:21" ht="17.25" customHeight="1">
      <c r="A151" s="73"/>
      <c r="B151" s="117"/>
      <c r="C151" s="50"/>
      <c r="D151" s="37">
        <v>0.3</v>
      </c>
      <c r="E151" s="37">
        <v>0.8</v>
      </c>
      <c r="F151" s="53">
        <v>1000</v>
      </c>
      <c r="G151" s="53">
        <f t="shared" si="3"/>
        <v>58.5</v>
      </c>
      <c r="H151" s="53">
        <f t="shared" si="4"/>
        <v>35.1</v>
      </c>
      <c r="I151" s="53">
        <v>240</v>
      </c>
      <c r="J151" s="62">
        <f t="shared" si="5"/>
        <v>23.867999999999999</v>
      </c>
      <c r="K151" s="62"/>
      <c r="L151" s="62">
        <f t="shared" si="6"/>
        <v>4.68</v>
      </c>
      <c r="M151" s="62">
        <f t="shared" si="0"/>
        <v>23.867999999999999</v>
      </c>
      <c r="N151" s="62">
        <f t="shared" si="7"/>
        <v>5.76</v>
      </c>
      <c r="O151" s="62">
        <f t="shared" si="8"/>
        <v>1.1934</v>
      </c>
      <c r="P151" s="62">
        <f t="shared" si="9"/>
        <v>1.1934</v>
      </c>
      <c r="Q151" s="81">
        <f t="shared" si="10"/>
        <v>4.5665999999999993</v>
      </c>
      <c r="R151" s="165">
        <f t="shared" si="1"/>
        <v>47.62368</v>
      </c>
      <c r="S151" s="165">
        <f t="shared" si="11"/>
        <v>22.376339999999999</v>
      </c>
      <c r="U151" s="166">
        <f t="shared" si="2"/>
        <v>70.000020000000006</v>
      </c>
    </row>
    <row r="152" spans="1:21" ht="17.25" customHeight="1">
      <c r="A152" s="75"/>
      <c r="B152" s="35"/>
      <c r="C152" s="35"/>
      <c r="D152" s="55">
        <v>0.3</v>
      </c>
      <c r="E152" s="66">
        <v>0.8</v>
      </c>
      <c r="F152" s="56">
        <v>5000</v>
      </c>
      <c r="G152" s="56">
        <f t="shared" si="3"/>
        <v>292.5</v>
      </c>
      <c r="H152" s="56">
        <f t="shared" si="4"/>
        <v>175.5</v>
      </c>
      <c r="I152" s="56">
        <v>240</v>
      </c>
      <c r="J152" s="63">
        <f t="shared" si="5"/>
        <v>119.33999999999999</v>
      </c>
      <c r="K152" s="63"/>
      <c r="L152" s="63">
        <f t="shared" si="6"/>
        <v>23.400000000000002</v>
      </c>
      <c r="M152" s="63">
        <f t="shared" si="0"/>
        <v>119.33999999999999</v>
      </c>
      <c r="N152" s="63">
        <f t="shared" si="7"/>
        <v>28.799999999999997</v>
      </c>
      <c r="O152" s="63">
        <f t="shared" si="8"/>
        <v>5.9669999999999996</v>
      </c>
      <c r="P152" s="63">
        <f t="shared" si="9"/>
        <v>5.9669999999999996</v>
      </c>
      <c r="Q152" s="400">
        <f t="shared" si="10"/>
        <v>22.832999999999998</v>
      </c>
      <c r="R152" s="167">
        <f t="shared" si="1"/>
        <v>238.11840000000001</v>
      </c>
      <c r="S152" s="167">
        <f t="shared" si="11"/>
        <v>111.8817</v>
      </c>
      <c r="U152" s="168">
        <f t="shared" si="2"/>
        <v>350.00009999999997</v>
      </c>
    </row>
    <row r="153" spans="1:21" ht="17.25" customHeight="1" thickBot="1">
      <c r="A153" s="76"/>
      <c r="B153" s="51"/>
      <c r="C153" s="51"/>
      <c r="D153" s="38"/>
      <c r="E153" s="39"/>
      <c r="F153" s="39"/>
      <c r="G153" s="39"/>
      <c r="H153" s="39"/>
      <c r="I153" s="39"/>
      <c r="J153" s="39"/>
      <c r="K153" s="39"/>
      <c r="L153" s="39"/>
      <c r="M153" s="39"/>
      <c r="N153" s="39"/>
      <c r="O153" s="39"/>
      <c r="P153" s="39"/>
      <c r="Q153" s="39"/>
      <c r="R153" s="39"/>
      <c r="S153" s="39"/>
      <c r="U153" s="40"/>
    </row>
    <row r="154" spans="1:21" ht="21.75" customHeight="1"/>
  </sheetData>
  <sheetProtection password="D286" sheet="1" objects="1" scenarios="1"/>
  <mergeCells count="11">
    <mergeCell ref="E112:R112"/>
    <mergeCell ref="E115:R115"/>
    <mergeCell ref="A6:N6"/>
    <mergeCell ref="D89:E89"/>
    <mergeCell ref="E121:R121"/>
    <mergeCell ref="E109:G109"/>
    <mergeCell ref="H109:J109"/>
    <mergeCell ref="K109:M109"/>
    <mergeCell ref="N109:P109"/>
    <mergeCell ref="Q109:R109"/>
    <mergeCell ref="E110:R110"/>
  </mergeCells>
  <phoneticPr fontId="2" type="noConversion"/>
  <pageMargins left="0.39370078740157483" right="0.15748031496062992" top="0.51181102362204722" bottom="0.31496062992125984" header="0.51181102362204722" footer="0.27559055118110237"/>
  <pageSetup paperSize="9" scale="60" firstPageNumber="6" fitToHeight="0" orientation="portrait" useFirstPageNumber="1" r:id="rId1"/>
  <headerFooter alignWithMargins="0">
    <oddFooter>&amp;C&amp;14STW Graphs</oddFooter>
  </headerFooter>
  <drawing r:id="rId2"/>
</worksheet>
</file>

<file path=xl/worksheets/sheet6.xml><?xml version="1.0" encoding="utf-8"?>
<worksheet xmlns="http://schemas.openxmlformats.org/spreadsheetml/2006/main" xmlns:r="http://schemas.openxmlformats.org/officeDocument/2006/relationships">
  <sheetPr codeName="Sheet6" enableFormatConditionsCalculation="0">
    <tabColor indexed="13"/>
  </sheetPr>
  <dimension ref="A1:S125"/>
  <sheetViews>
    <sheetView view="pageBreakPreview" zoomScaleNormal="100" workbookViewId="0">
      <selection activeCell="C15" sqref="C15"/>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5.42578125" style="3" customWidth="1"/>
    <col min="18" max="18" width="5.28515625" style="3" customWidth="1"/>
    <col min="19" max="19" width="5" style="3" customWidth="1"/>
    <col min="20" max="16384" width="9.140625" style="3"/>
  </cols>
  <sheetData>
    <row r="1" spans="1:19" ht="18">
      <c r="A1" s="27" t="s">
        <v>453</v>
      </c>
      <c r="B1" s="143"/>
      <c r="C1" s="143"/>
      <c r="D1" s="59"/>
      <c r="E1" s="59"/>
      <c r="F1" s="59"/>
      <c r="G1" s="59"/>
      <c r="H1" s="59"/>
      <c r="I1" s="59"/>
      <c r="J1" s="59"/>
      <c r="K1" s="59"/>
      <c r="L1" s="59"/>
      <c r="M1" s="59"/>
      <c r="N1" s="59"/>
      <c r="O1" s="59"/>
      <c r="P1" s="140"/>
    </row>
    <row r="2" spans="1:19" ht="15" customHeight="1">
      <c r="A2" s="45" t="s">
        <v>454</v>
      </c>
      <c r="B2" s="143"/>
      <c r="C2" s="143"/>
      <c r="D2" s="59"/>
      <c r="E2" s="59"/>
      <c r="F2" s="59"/>
      <c r="G2" s="59"/>
      <c r="H2" s="59"/>
      <c r="I2" s="59"/>
      <c r="J2" s="59"/>
      <c r="K2" s="59"/>
      <c r="L2" s="59"/>
      <c r="M2" s="59"/>
      <c r="N2" s="59"/>
      <c r="O2" s="59"/>
      <c r="P2" s="59"/>
    </row>
    <row r="3" spans="1:19" ht="12.75" customHeight="1">
      <c r="A3" s="130"/>
      <c r="B3" s="42"/>
      <c r="C3" s="42"/>
      <c r="D3" s="45"/>
      <c r="E3" s="45"/>
      <c r="F3" s="45"/>
      <c r="G3" s="45"/>
      <c r="H3" s="45"/>
      <c r="I3" s="45"/>
      <c r="J3" s="45"/>
      <c r="K3" s="45"/>
      <c r="L3" s="45"/>
      <c r="M3" s="45"/>
      <c r="N3" s="45"/>
      <c r="O3" s="45"/>
      <c r="P3" s="45"/>
      <c r="Q3" s="45"/>
      <c r="R3" s="45"/>
      <c r="S3" s="44"/>
    </row>
    <row r="4" spans="1:19" ht="12.75" customHeight="1">
      <c r="A4" s="46"/>
      <c r="B4" s="45" t="s">
        <v>89</v>
      </c>
      <c r="C4" s="45"/>
      <c r="D4" s="46"/>
      <c r="E4" s="46"/>
      <c r="F4" s="46"/>
      <c r="G4" s="46"/>
      <c r="H4" s="46"/>
      <c r="I4" s="46"/>
      <c r="J4" s="46"/>
      <c r="K4" s="46"/>
      <c r="L4" s="46"/>
      <c r="M4" s="46"/>
      <c r="N4" s="46"/>
      <c r="O4" s="46"/>
      <c r="P4" s="46"/>
      <c r="Q4" s="46"/>
      <c r="R4" s="46"/>
      <c r="S4" s="44"/>
    </row>
    <row r="5" spans="1:19" ht="12.75" customHeight="1">
      <c r="A5" s="46"/>
      <c r="B5" s="45" t="s">
        <v>296</v>
      </c>
      <c r="C5" s="45"/>
      <c r="D5" s="46"/>
      <c r="E5" s="46"/>
      <c r="F5" s="46"/>
      <c r="G5" s="46"/>
      <c r="H5" s="46"/>
      <c r="I5" s="46"/>
      <c r="J5" s="46"/>
      <c r="K5" s="46"/>
      <c r="L5" s="46"/>
      <c r="M5" s="46"/>
      <c r="N5" s="46"/>
      <c r="O5" s="46"/>
      <c r="P5" s="46"/>
      <c r="Q5" s="46"/>
      <c r="R5" s="46"/>
      <c r="S5" s="44"/>
    </row>
    <row r="6" spans="1:19" ht="12.75" customHeight="1">
      <c r="A6" s="46"/>
      <c r="B6" s="45" t="s">
        <v>90</v>
      </c>
      <c r="C6" s="45"/>
      <c r="D6" s="46"/>
      <c r="E6" s="46"/>
      <c r="F6" s="46"/>
      <c r="G6" s="46"/>
      <c r="H6" s="46"/>
      <c r="I6" s="46"/>
      <c r="J6" s="46"/>
      <c r="K6" s="46"/>
      <c r="L6" s="46"/>
      <c r="M6" s="46"/>
      <c r="N6" s="46"/>
      <c r="O6" s="46"/>
      <c r="P6" s="46"/>
      <c r="Q6" s="46"/>
      <c r="R6" s="46"/>
      <c r="S6" s="44"/>
    </row>
    <row r="7" spans="1:19" ht="12.75" customHeight="1">
      <c r="A7" s="46"/>
      <c r="B7" s="45" t="s">
        <v>25</v>
      </c>
      <c r="C7" s="45"/>
      <c r="D7" s="46"/>
      <c r="E7" s="46"/>
      <c r="F7" s="46"/>
      <c r="G7" s="46"/>
      <c r="H7" s="46"/>
      <c r="I7" s="46"/>
      <c r="J7" s="46"/>
      <c r="K7" s="46"/>
      <c r="L7" s="46"/>
      <c r="M7" s="46"/>
      <c r="N7" s="46"/>
      <c r="O7" s="46"/>
      <c r="P7" s="46"/>
      <c r="Q7" s="46"/>
      <c r="R7" s="46"/>
      <c r="S7" s="44"/>
    </row>
    <row r="8" spans="1:19" ht="12.75" customHeight="1">
      <c r="A8" s="46"/>
      <c r="B8" s="45"/>
      <c r="C8" s="45"/>
      <c r="D8" s="46"/>
      <c r="E8" s="46"/>
      <c r="F8" s="46"/>
      <c r="G8" s="46"/>
      <c r="H8" s="46"/>
      <c r="I8" s="46"/>
      <c r="J8" s="46"/>
      <c r="K8" s="46"/>
      <c r="L8" s="46"/>
      <c r="M8" s="46"/>
      <c r="N8" s="46"/>
      <c r="O8" s="46"/>
      <c r="P8" s="46"/>
      <c r="Q8" s="46"/>
      <c r="R8" s="46"/>
      <c r="S8" s="44"/>
    </row>
    <row r="9" spans="1:19" ht="12.75" customHeight="1">
      <c r="A9" s="46" t="s">
        <v>117</v>
      </c>
      <c r="B9" s="47" t="s">
        <v>323</v>
      </c>
      <c r="C9" s="3"/>
      <c r="F9" s="46"/>
      <c r="G9" s="46"/>
      <c r="H9" s="46"/>
      <c r="I9" s="46"/>
      <c r="J9" s="46"/>
      <c r="K9" s="46"/>
      <c r="L9" s="46"/>
      <c r="M9" s="46"/>
      <c r="N9" s="46"/>
      <c r="O9" s="46"/>
      <c r="P9" s="46"/>
      <c r="Q9" s="46"/>
      <c r="R9" s="46"/>
      <c r="S9" s="44"/>
    </row>
    <row r="10" spans="1:19" ht="12.75" customHeight="1">
      <c r="A10" s="46"/>
      <c r="B10" s="45"/>
      <c r="C10" s="45" t="s">
        <v>273</v>
      </c>
      <c r="F10" s="46"/>
      <c r="G10" s="46"/>
      <c r="H10" s="46"/>
      <c r="I10" s="46"/>
      <c r="J10" s="46"/>
      <c r="K10" s="46"/>
      <c r="L10" s="46"/>
      <c r="M10" s="46"/>
      <c r="N10" s="46"/>
      <c r="O10" s="46"/>
      <c r="P10" s="46"/>
      <c r="Q10" s="46"/>
      <c r="R10" s="46"/>
      <c r="S10" s="44"/>
    </row>
    <row r="11" spans="1:19" ht="12.75" customHeight="1">
      <c r="A11" s="46"/>
      <c r="B11" s="7"/>
      <c r="C11" s="45" t="s">
        <v>272</v>
      </c>
      <c r="F11" s="46"/>
      <c r="G11" s="46"/>
      <c r="H11" s="46"/>
      <c r="I11" s="46"/>
      <c r="J11" s="46"/>
      <c r="K11" s="46"/>
      <c r="L11" s="46"/>
      <c r="M11" s="46"/>
      <c r="N11" s="46"/>
      <c r="O11" s="46"/>
      <c r="P11" s="46"/>
      <c r="Q11" s="46"/>
      <c r="R11" s="46"/>
      <c r="S11" s="44"/>
    </row>
    <row r="12" spans="1:19" ht="12.75" customHeight="1">
      <c r="A12" s="46"/>
      <c r="B12" s="7"/>
      <c r="C12" s="45" t="s">
        <v>129</v>
      </c>
      <c r="F12" s="46"/>
      <c r="G12" s="46"/>
      <c r="H12" s="46"/>
      <c r="I12" s="46"/>
      <c r="J12" s="46"/>
      <c r="K12" s="46"/>
      <c r="L12" s="46"/>
      <c r="M12" s="46"/>
      <c r="N12" s="46"/>
      <c r="O12" s="46"/>
      <c r="P12" s="46"/>
      <c r="Q12" s="46"/>
      <c r="R12" s="46"/>
      <c r="S12" s="44"/>
    </row>
    <row r="13" spans="1:19" ht="12.75" customHeight="1">
      <c r="A13" s="46"/>
      <c r="B13" s="7"/>
      <c r="C13" s="45"/>
      <c r="F13" s="46"/>
      <c r="G13" s="46"/>
      <c r="H13" s="46"/>
      <c r="I13" s="46"/>
      <c r="J13" s="46"/>
      <c r="K13" s="46"/>
      <c r="L13" s="46"/>
      <c r="M13" s="46"/>
      <c r="N13" s="46"/>
      <c r="O13" s="46"/>
      <c r="P13" s="46"/>
      <c r="Q13" s="46"/>
      <c r="R13" s="46"/>
      <c r="S13" s="44"/>
    </row>
    <row r="14" spans="1:19" ht="12.75" customHeight="1">
      <c r="A14" s="46"/>
      <c r="B14" s="45" t="s">
        <v>274</v>
      </c>
      <c r="C14" s="3"/>
      <c r="F14" s="46"/>
      <c r="G14" s="46"/>
      <c r="H14" s="46"/>
      <c r="I14" s="46"/>
      <c r="J14" s="46"/>
      <c r="K14" s="46"/>
      <c r="L14" s="46"/>
      <c r="M14" s="46"/>
      <c r="N14" s="46"/>
      <c r="O14" s="46"/>
      <c r="P14" s="46"/>
      <c r="Q14" s="46"/>
      <c r="R14" s="46"/>
      <c r="S14" s="44"/>
    </row>
    <row r="15" spans="1:19" ht="12.75" customHeight="1">
      <c r="A15" s="46"/>
      <c r="B15" s="7"/>
      <c r="C15" s="46" t="s">
        <v>130</v>
      </c>
      <c r="F15" s="46"/>
      <c r="G15" s="46"/>
      <c r="H15" s="46"/>
      <c r="I15" s="46"/>
      <c r="J15" s="46"/>
      <c r="K15" s="46"/>
      <c r="L15" s="46"/>
      <c r="M15" s="46"/>
      <c r="N15" s="46"/>
      <c r="O15" s="46"/>
      <c r="P15" s="46"/>
      <c r="Q15" s="46"/>
      <c r="R15" s="46"/>
      <c r="S15" s="44"/>
    </row>
    <row r="16" spans="1:19" ht="12.75" customHeight="1">
      <c r="A16" s="46"/>
      <c r="B16" s="7"/>
      <c r="C16" s="46"/>
      <c r="F16" s="46"/>
      <c r="G16" s="46"/>
      <c r="H16" s="46"/>
      <c r="I16" s="46"/>
      <c r="J16" s="46"/>
      <c r="K16" s="46"/>
      <c r="L16" s="46"/>
      <c r="M16" s="46"/>
      <c r="N16" s="46"/>
      <c r="O16" s="46"/>
      <c r="P16" s="46"/>
      <c r="Q16" s="46"/>
      <c r="R16" s="46"/>
      <c r="S16" s="44"/>
    </row>
    <row r="17" spans="1:19" ht="12.75" customHeight="1">
      <c r="A17" s="46" t="s">
        <v>118</v>
      </c>
      <c r="B17" s="47" t="s">
        <v>322</v>
      </c>
      <c r="C17" s="3"/>
      <c r="F17" s="46"/>
      <c r="G17" s="46"/>
      <c r="H17" s="46"/>
      <c r="I17" s="46"/>
      <c r="J17" s="46"/>
      <c r="K17" s="46"/>
      <c r="L17" s="46"/>
      <c r="M17" s="46"/>
      <c r="N17" s="46"/>
      <c r="O17" s="46"/>
      <c r="P17" s="46"/>
      <c r="Q17" s="46"/>
      <c r="R17" s="46"/>
      <c r="S17" s="44"/>
    </row>
    <row r="18" spans="1:19" ht="12.75" customHeight="1">
      <c r="A18" s="46"/>
      <c r="B18" s="45"/>
      <c r="C18" s="45" t="s">
        <v>316</v>
      </c>
      <c r="F18" s="46"/>
      <c r="G18" s="46"/>
      <c r="H18" s="46"/>
      <c r="I18" s="46"/>
      <c r="J18" s="46"/>
      <c r="K18" s="46"/>
      <c r="L18" s="46"/>
      <c r="M18" s="46"/>
      <c r="N18" s="46"/>
      <c r="O18" s="46"/>
      <c r="P18" s="46"/>
      <c r="Q18" s="46"/>
      <c r="R18" s="46"/>
      <c r="S18" s="44"/>
    </row>
    <row r="19" spans="1:19" ht="12.75" customHeight="1">
      <c r="A19" s="46"/>
      <c r="B19" s="3"/>
      <c r="C19" s="45" t="s">
        <v>317</v>
      </c>
      <c r="F19" s="46"/>
      <c r="G19" s="46"/>
      <c r="H19" s="46"/>
      <c r="I19" s="46"/>
      <c r="J19" s="46"/>
      <c r="K19" s="46"/>
      <c r="L19" s="46"/>
      <c r="M19" s="46"/>
      <c r="N19" s="46"/>
      <c r="O19" s="46"/>
      <c r="P19" s="46"/>
      <c r="Q19" s="46"/>
      <c r="R19" s="46"/>
      <c r="S19" s="44"/>
    </row>
    <row r="20" spans="1:19" ht="12.75" customHeight="1">
      <c r="A20" s="46"/>
      <c r="B20" s="7"/>
      <c r="C20" s="46"/>
      <c r="F20" s="46"/>
      <c r="G20" s="46"/>
      <c r="H20" s="46"/>
      <c r="I20" s="46"/>
      <c r="J20" s="46"/>
      <c r="K20" s="46"/>
      <c r="L20" s="46"/>
      <c r="M20" s="46"/>
      <c r="N20" s="46"/>
      <c r="O20" s="46"/>
      <c r="P20" s="46"/>
      <c r="Q20" s="46"/>
      <c r="R20" s="46"/>
      <c r="S20" s="44"/>
    </row>
    <row r="21" spans="1:19" ht="12.75" customHeight="1">
      <c r="A21" s="46" t="s">
        <v>119</v>
      </c>
      <c r="B21" s="47" t="s">
        <v>328</v>
      </c>
      <c r="C21" s="3"/>
      <c r="F21" s="46"/>
      <c r="G21" s="46"/>
      <c r="H21" s="46"/>
      <c r="I21" s="46"/>
      <c r="J21" s="46"/>
      <c r="K21" s="46"/>
      <c r="L21" s="46"/>
      <c r="M21" s="46"/>
      <c r="N21" s="46"/>
      <c r="O21" s="46"/>
      <c r="P21" s="46"/>
      <c r="Q21" s="46"/>
      <c r="R21" s="46"/>
      <c r="S21" s="44"/>
    </row>
    <row r="22" spans="1:19" ht="12.75" customHeight="1">
      <c r="A22" s="46"/>
      <c r="C22" s="47" t="s">
        <v>329</v>
      </c>
      <c r="F22" s="46"/>
      <c r="G22" s="46"/>
      <c r="H22" s="46"/>
      <c r="I22" s="46"/>
      <c r="J22" s="46"/>
      <c r="K22" s="46"/>
      <c r="L22" s="46"/>
      <c r="M22" s="46"/>
      <c r="N22" s="46"/>
      <c r="O22" s="46"/>
      <c r="P22" s="46"/>
      <c r="Q22" s="46"/>
      <c r="R22" s="46"/>
      <c r="S22" s="44"/>
    </row>
    <row r="23" spans="1:19" ht="12.75" customHeight="1">
      <c r="A23" s="46"/>
      <c r="C23" s="3" t="s">
        <v>331</v>
      </c>
      <c r="F23" s="46"/>
      <c r="G23" s="46"/>
      <c r="H23" s="46"/>
      <c r="I23" s="46"/>
      <c r="J23" s="46"/>
      <c r="K23" s="46"/>
      <c r="L23" s="46"/>
      <c r="M23" s="46"/>
      <c r="N23" s="46"/>
      <c r="O23" s="46"/>
      <c r="P23" s="46"/>
      <c r="Q23" s="46"/>
      <c r="R23" s="46"/>
      <c r="S23" s="44"/>
    </row>
    <row r="24" spans="1:19" ht="12.75" customHeight="1">
      <c r="A24" s="46"/>
      <c r="C24" s="3" t="s">
        <v>399</v>
      </c>
      <c r="F24" s="46"/>
      <c r="G24" s="46"/>
      <c r="H24" s="46"/>
      <c r="I24" s="46"/>
      <c r="J24" s="46"/>
      <c r="K24" s="46"/>
      <c r="L24" s="46"/>
      <c r="M24" s="46"/>
      <c r="N24" s="46"/>
      <c r="O24" s="46"/>
      <c r="P24" s="46"/>
      <c r="Q24" s="46"/>
      <c r="R24" s="46"/>
      <c r="S24" s="44"/>
    </row>
    <row r="25" spans="1:19" ht="12.75" customHeight="1">
      <c r="A25" s="46"/>
      <c r="C25" s="47" t="s">
        <v>330</v>
      </c>
      <c r="F25" s="46"/>
      <c r="G25" s="46"/>
      <c r="H25" s="46"/>
      <c r="I25" s="46"/>
      <c r="J25" s="46"/>
      <c r="K25" s="46"/>
      <c r="L25" s="46"/>
      <c r="M25" s="46"/>
      <c r="N25" s="46"/>
      <c r="O25" s="46"/>
      <c r="P25" s="46"/>
      <c r="Q25" s="46"/>
      <c r="R25" s="46"/>
      <c r="S25" s="44"/>
    </row>
    <row r="26" spans="1:19" ht="12.75" customHeight="1">
      <c r="A26" s="46"/>
      <c r="C26" s="3" t="s">
        <v>332</v>
      </c>
      <c r="F26" s="46"/>
      <c r="G26" s="46"/>
      <c r="H26" s="46"/>
      <c r="I26" s="46"/>
      <c r="J26" s="46"/>
      <c r="K26" s="46"/>
      <c r="L26" s="46"/>
      <c r="M26" s="46"/>
      <c r="N26" s="46"/>
      <c r="O26" s="46"/>
      <c r="P26" s="46"/>
      <c r="Q26" s="46"/>
      <c r="R26" s="46"/>
      <c r="S26" s="44"/>
    </row>
    <row r="27" spans="1:19" ht="12.75" customHeight="1">
      <c r="A27" s="46"/>
      <c r="C27" s="47" t="s">
        <v>333</v>
      </c>
      <c r="F27" s="46"/>
      <c r="G27" s="46"/>
      <c r="H27" s="46"/>
      <c r="I27" s="46"/>
      <c r="J27" s="46"/>
      <c r="K27" s="46"/>
      <c r="L27" s="46"/>
      <c r="M27" s="46"/>
      <c r="N27" s="46"/>
      <c r="O27" s="46"/>
      <c r="P27" s="46"/>
      <c r="Q27" s="46"/>
      <c r="R27" s="46"/>
      <c r="S27" s="44"/>
    </row>
    <row r="28" spans="1:19" ht="12.75" customHeight="1">
      <c r="A28" s="46"/>
      <c r="C28" s="3" t="s">
        <v>334</v>
      </c>
      <c r="F28" s="46"/>
      <c r="G28" s="46"/>
      <c r="H28" s="46"/>
      <c r="I28" s="46"/>
      <c r="J28" s="46"/>
      <c r="K28" s="46"/>
      <c r="L28" s="46"/>
      <c r="M28" s="46"/>
      <c r="N28" s="46"/>
      <c r="O28" s="46"/>
      <c r="P28" s="46"/>
      <c r="Q28" s="46"/>
      <c r="R28" s="46"/>
      <c r="S28" s="44"/>
    </row>
    <row r="29" spans="1:19" ht="12.75" customHeight="1">
      <c r="A29" s="46"/>
      <c r="C29" s="3"/>
      <c r="F29" s="46"/>
      <c r="G29" s="46"/>
      <c r="H29" s="46"/>
      <c r="I29" s="46"/>
      <c r="J29" s="46"/>
      <c r="K29" s="46"/>
      <c r="L29" s="46"/>
      <c r="M29" s="46"/>
      <c r="N29" s="46"/>
      <c r="O29" s="46"/>
      <c r="P29" s="46"/>
      <c r="Q29" s="46"/>
      <c r="R29" s="46"/>
      <c r="S29" s="44"/>
    </row>
    <row r="30" spans="1:19" ht="12.75" customHeight="1">
      <c r="A30" s="46"/>
      <c r="B30" s="45"/>
      <c r="C30" s="45" t="s">
        <v>335</v>
      </c>
      <c r="F30" s="46"/>
      <c r="G30" s="46"/>
      <c r="H30" s="46"/>
      <c r="I30" s="46"/>
      <c r="J30" s="46"/>
      <c r="K30" s="46"/>
      <c r="L30" s="46"/>
      <c r="M30" s="46"/>
      <c r="N30" s="46"/>
      <c r="O30" s="46"/>
      <c r="P30" s="46"/>
      <c r="Q30" s="46"/>
      <c r="R30" s="46"/>
      <c r="S30" s="44"/>
    </row>
    <row r="31" spans="1:19" ht="12.75" customHeight="1">
      <c r="A31" s="46"/>
      <c r="B31" s="45"/>
      <c r="C31" s="45" t="s">
        <v>435</v>
      </c>
      <c r="F31" s="46"/>
      <c r="G31" s="46"/>
      <c r="H31" s="46"/>
      <c r="I31" s="46"/>
      <c r="J31" s="46"/>
      <c r="K31" s="46"/>
      <c r="L31" s="46"/>
      <c r="M31" s="46"/>
      <c r="N31" s="46"/>
      <c r="O31" s="46"/>
      <c r="P31" s="46"/>
      <c r="Q31" s="46"/>
      <c r="R31" s="46"/>
      <c r="S31" s="44"/>
    </row>
    <row r="32" spans="1:19" ht="12.75" customHeight="1">
      <c r="A32" s="46"/>
      <c r="B32" s="45"/>
      <c r="C32" s="7" t="s">
        <v>436</v>
      </c>
      <c r="D32" s="3" t="s">
        <v>455</v>
      </c>
      <c r="F32" s="46"/>
      <c r="G32" s="46"/>
      <c r="H32" s="46"/>
      <c r="I32" s="46"/>
      <c r="J32" s="46"/>
      <c r="K32" s="46"/>
      <c r="L32" s="46"/>
      <c r="M32" s="46"/>
      <c r="N32" s="46"/>
      <c r="O32" s="46"/>
      <c r="P32" s="46"/>
      <c r="Q32" s="46"/>
      <c r="R32" s="46"/>
      <c r="S32" s="44"/>
    </row>
    <row r="33" spans="1:19" ht="12.75" customHeight="1">
      <c r="A33" s="46"/>
      <c r="B33" s="7"/>
      <c r="C33" s="46"/>
      <c r="F33" s="46"/>
      <c r="G33" s="46"/>
      <c r="H33" s="46"/>
      <c r="I33" s="46"/>
      <c r="J33" s="46"/>
      <c r="K33" s="46"/>
      <c r="L33" s="46"/>
      <c r="M33" s="46"/>
      <c r="N33" s="46"/>
      <c r="O33" s="46"/>
      <c r="P33" s="46"/>
      <c r="Q33" s="46"/>
      <c r="R33" s="46"/>
      <c r="S33" s="44"/>
    </row>
    <row r="34" spans="1:19" ht="12.75" customHeight="1">
      <c r="A34" s="46" t="s">
        <v>120</v>
      </c>
      <c r="B34" s="47" t="s">
        <v>324</v>
      </c>
      <c r="C34" s="3"/>
      <c r="F34" s="46"/>
      <c r="G34" s="46"/>
      <c r="H34" s="46"/>
      <c r="I34" s="46"/>
      <c r="J34" s="46"/>
      <c r="K34" s="46"/>
      <c r="L34" s="46"/>
      <c r="M34" s="46"/>
      <c r="N34" s="46"/>
      <c r="O34" s="46"/>
      <c r="P34" s="46"/>
      <c r="Q34" s="46"/>
      <c r="R34" s="46"/>
      <c r="S34" s="44"/>
    </row>
    <row r="35" spans="1:19" ht="12.75" customHeight="1">
      <c r="A35" s="46"/>
      <c r="B35" s="45"/>
      <c r="C35" s="45" t="s">
        <v>313</v>
      </c>
      <c r="F35" s="46"/>
      <c r="G35" s="46"/>
      <c r="H35" s="46"/>
      <c r="I35" s="46"/>
      <c r="J35" s="46"/>
      <c r="K35" s="46"/>
      <c r="L35" s="46"/>
      <c r="M35" s="46"/>
      <c r="N35" s="46"/>
      <c r="O35" s="46"/>
      <c r="P35" s="46"/>
      <c r="Q35" s="46"/>
      <c r="R35" s="46"/>
      <c r="S35" s="44"/>
    </row>
    <row r="36" spans="1:19" ht="12.75" customHeight="1">
      <c r="A36" s="46"/>
      <c r="B36" s="57"/>
      <c r="C36" s="46" t="s">
        <v>64</v>
      </c>
      <c r="D36" s="45" t="s">
        <v>441</v>
      </c>
      <c r="F36" s="46"/>
      <c r="G36" s="46"/>
      <c r="H36" s="46"/>
      <c r="I36" s="46"/>
      <c r="J36" s="46"/>
      <c r="K36" s="46"/>
      <c r="L36" s="46"/>
      <c r="M36" s="46"/>
      <c r="N36" s="46"/>
      <c r="O36" s="46"/>
      <c r="P36" s="46"/>
      <c r="Q36" s="46"/>
      <c r="R36" s="46"/>
      <c r="S36" s="44"/>
    </row>
    <row r="37" spans="1:19" ht="12.75" customHeight="1">
      <c r="A37" s="46"/>
      <c r="B37" s="57"/>
      <c r="C37" s="3"/>
      <c r="F37" s="46"/>
      <c r="G37" s="46"/>
      <c r="H37" s="46"/>
      <c r="I37" s="46"/>
      <c r="J37" s="46"/>
      <c r="K37" s="46"/>
      <c r="L37" s="46"/>
      <c r="M37" s="46"/>
      <c r="N37" s="46"/>
      <c r="O37" s="46"/>
      <c r="P37" s="46"/>
      <c r="Q37" s="46"/>
      <c r="R37" s="46"/>
      <c r="S37" s="44"/>
    </row>
    <row r="38" spans="1:19" ht="12.75" customHeight="1">
      <c r="A38" s="46" t="s">
        <v>121</v>
      </c>
      <c r="B38" s="46" t="s">
        <v>315</v>
      </c>
      <c r="C38" s="3"/>
      <c r="F38" s="46"/>
      <c r="G38" s="46"/>
      <c r="H38" s="46"/>
      <c r="I38" s="46"/>
      <c r="J38" s="46"/>
      <c r="K38" s="46"/>
      <c r="L38" s="46"/>
      <c r="M38" s="46"/>
      <c r="N38" s="46"/>
      <c r="O38" s="46"/>
      <c r="P38" s="46"/>
      <c r="Q38" s="46"/>
      <c r="R38" s="46"/>
      <c r="S38" s="44"/>
    </row>
    <row r="39" spans="1:19" ht="12.75" customHeight="1">
      <c r="A39" s="46"/>
      <c r="B39" s="3"/>
      <c r="C39" s="45" t="s">
        <v>314</v>
      </c>
      <c r="F39" s="46"/>
      <c r="G39" s="46"/>
      <c r="H39" s="46"/>
      <c r="I39" s="46"/>
      <c r="J39" s="46"/>
      <c r="K39" s="46"/>
      <c r="L39" s="46"/>
      <c r="M39" s="46"/>
      <c r="N39" s="46"/>
      <c r="O39" s="46"/>
      <c r="P39" s="46"/>
      <c r="Q39" s="46"/>
      <c r="R39" s="46"/>
      <c r="S39" s="44"/>
    </row>
    <row r="40" spans="1:19" ht="12.75" customHeight="1">
      <c r="A40" s="46"/>
      <c r="B40" s="3"/>
      <c r="C40" s="47" t="s">
        <v>318</v>
      </c>
      <c r="F40" s="46"/>
      <c r="G40" s="46"/>
      <c r="H40" s="46"/>
      <c r="I40" s="46"/>
      <c r="J40" s="46"/>
      <c r="K40" s="46"/>
      <c r="L40" s="46"/>
      <c r="M40" s="46"/>
      <c r="N40" s="46"/>
      <c r="O40" s="46"/>
      <c r="P40" s="46"/>
      <c r="Q40" s="46"/>
      <c r="R40" s="46"/>
      <c r="S40" s="44"/>
    </row>
    <row r="41" spans="1:19" ht="12.75" customHeight="1">
      <c r="A41" s="46"/>
      <c r="B41" s="57"/>
      <c r="C41" s="45"/>
      <c r="F41" s="46"/>
      <c r="G41" s="46"/>
      <c r="H41" s="46"/>
      <c r="I41" s="46"/>
      <c r="J41" s="46"/>
      <c r="K41" s="46"/>
      <c r="L41" s="46"/>
      <c r="M41" s="46"/>
      <c r="N41" s="46"/>
      <c r="O41" s="46"/>
      <c r="P41" s="46"/>
      <c r="Q41" s="46"/>
      <c r="R41" s="46"/>
      <c r="S41" s="44"/>
    </row>
    <row r="42" spans="1:19" ht="12.75" customHeight="1">
      <c r="A42" s="46" t="s">
        <v>122</v>
      </c>
      <c r="B42" s="46" t="s">
        <v>319</v>
      </c>
      <c r="C42" s="3"/>
      <c r="F42" s="46"/>
      <c r="G42" s="46"/>
      <c r="H42" s="46"/>
      <c r="I42" s="46"/>
      <c r="J42" s="46"/>
      <c r="K42" s="46"/>
      <c r="L42" s="46"/>
      <c r="M42" s="46"/>
      <c r="N42" s="46"/>
      <c r="O42" s="46"/>
      <c r="P42" s="46"/>
      <c r="Q42" s="46"/>
      <c r="R42" s="46"/>
      <c r="S42" s="44"/>
    </row>
    <row r="43" spans="1:19" ht="12.75" customHeight="1">
      <c r="A43" s="46"/>
      <c r="B43" s="3"/>
      <c r="C43" s="45" t="s">
        <v>320</v>
      </c>
      <c r="F43" s="46"/>
      <c r="G43" s="46"/>
      <c r="H43" s="46"/>
      <c r="I43" s="46"/>
      <c r="J43" s="46"/>
      <c r="K43" s="46"/>
      <c r="L43" s="46"/>
      <c r="M43" s="46"/>
      <c r="N43" s="46"/>
      <c r="O43" s="46"/>
      <c r="P43" s="46"/>
      <c r="Q43" s="46"/>
      <c r="R43" s="46"/>
      <c r="S43" s="44"/>
    </row>
    <row r="44" spans="1:19" ht="12.75" customHeight="1">
      <c r="A44" s="46"/>
      <c r="B44" s="3"/>
      <c r="C44" s="47" t="s">
        <v>321</v>
      </c>
      <c r="F44" s="46"/>
      <c r="G44" s="46"/>
      <c r="H44" s="46"/>
      <c r="I44" s="46"/>
      <c r="J44" s="46"/>
      <c r="K44" s="46"/>
      <c r="L44" s="46"/>
      <c r="M44" s="46"/>
      <c r="N44" s="46"/>
      <c r="O44" s="46"/>
      <c r="P44" s="46"/>
      <c r="Q44" s="46"/>
      <c r="R44" s="46"/>
      <c r="S44" s="44"/>
    </row>
    <row r="45" spans="1:19" ht="12.75" customHeight="1">
      <c r="A45" s="46"/>
      <c r="B45" s="57"/>
      <c r="C45" s="45"/>
      <c r="F45" s="46"/>
      <c r="G45" s="46"/>
      <c r="H45" s="46"/>
      <c r="I45" s="46"/>
      <c r="J45" s="46"/>
      <c r="K45" s="46"/>
      <c r="L45" s="46"/>
      <c r="M45" s="46"/>
      <c r="N45" s="46"/>
      <c r="O45" s="46"/>
      <c r="P45" s="46"/>
      <c r="Q45" s="46"/>
      <c r="R45" s="46"/>
      <c r="S45" s="44"/>
    </row>
    <row r="46" spans="1:19" ht="12.75" customHeight="1">
      <c r="A46" s="150" t="s">
        <v>123</v>
      </c>
      <c r="B46" s="46" t="s">
        <v>325</v>
      </c>
      <c r="C46" s="46"/>
      <c r="F46" s="46"/>
      <c r="G46" s="46"/>
      <c r="H46" s="46"/>
      <c r="I46" s="46"/>
      <c r="J46" s="46"/>
      <c r="K46" s="46"/>
      <c r="L46" s="46"/>
      <c r="M46" s="46"/>
      <c r="N46" s="46"/>
      <c r="O46" s="46"/>
      <c r="P46" s="46"/>
      <c r="Q46" s="46"/>
      <c r="R46" s="46"/>
      <c r="S46" s="44"/>
    </row>
    <row r="47" spans="1:19" ht="12.75" customHeight="1">
      <c r="A47" s="3"/>
      <c r="B47" s="3"/>
      <c r="C47" s="3" t="s">
        <v>336</v>
      </c>
      <c r="F47" s="46"/>
      <c r="G47" s="46"/>
      <c r="H47" s="46"/>
      <c r="I47" s="46"/>
      <c r="J47" s="46"/>
      <c r="K47" s="46"/>
      <c r="L47" s="46"/>
      <c r="M47" s="46"/>
      <c r="N47" s="46"/>
      <c r="O47" s="46"/>
      <c r="P47" s="46"/>
      <c r="Q47" s="46"/>
      <c r="R47" s="46"/>
      <c r="S47" s="44"/>
    </row>
    <row r="48" spans="1:19" ht="12.75" customHeight="1">
      <c r="A48" s="4"/>
      <c r="B48" s="3"/>
      <c r="C48" s="3" t="s">
        <v>301</v>
      </c>
      <c r="F48" s="46"/>
      <c r="G48" s="46"/>
      <c r="H48" s="46"/>
      <c r="I48" s="46"/>
      <c r="J48" s="46"/>
      <c r="K48" s="46"/>
      <c r="L48" s="46"/>
      <c r="M48" s="46"/>
      <c r="N48" s="46"/>
      <c r="O48" s="46"/>
      <c r="P48" s="46"/>
      <c r="Q48" s="46"/>
      <c r="R48" s="46"/>
      <c r="S48" s="44"/>
    </row>
    <row r="49" spans="1:19" ht="12.75" customHeight="1">
      <c r="A49" s="131"/>
      <c r="B49" s="3"/>
      <c r="C49" s="3" t="s">
        <v>256</v>
      </c>
      <c r="F49" s="46"/>
      <c r="G49" s="46"/>
      <c r="H49" s="46"/>
      <c r="I49" s="46"/>
      <c r="J49" s="46"/>
      <c r="K49" s="46"/>
      <c r="L49" s="46"/>
      <c r="M49" s="46"/>
      <c r="N49" s="46"/>
      <c r="O49" s="46"/>
      <c r="P49" s="46"/>
      <c r="Q49" s="46"/>
      <c r="R49" s="46"/>
      <c r="S49" s="44"/>
    </row>
    <row r="50" spans="1:19" ht="12.75" customHeight="1">
      <c r="A50" s="46"/>
      <c r="B50" s="45"/>
      <c r="C50" s="46"/>
      <c r="F50" s="46"/>
      <c r="G50" s="46"/>
      <c r="H50" s="46"/>
      <c r="I50" s="46"/>
      <c r="J50" s="46"/>
      <c r="K50" s="46"/>
      <c r="L50" s="46"/>
      <c r="M50" s="46"/>
      <c r="N50" s="46"/>
      <c r="O50" s="46"/>
      <c r="P50" s="46"/>
      <c r="Q50" s="46"/>
      <c r="R50" s="46"/>
      <c r="S50" s="44"/>
    </row>
    <row r="51" spans="1:19" ht="12.75" customHeight="1">
      <c r="A51" s="46" t="s">
        <v>124</v>
      </c>
      <c r="B51" s="46" t="s">
        <v>337</v>
      </c>
      <c r="C51" s="46"/>
      <c r="F51" s="46"/>
      <c r="G51" s="46"/>
      <c r="H51" s="46"/>
      <c r="I51" s="46"/>
      <c r="J51" s="46"/>
      <c r="K51" s="46"/>
      <c r="L51" s="46"/>
      <c r="M51" s="46"/>
      <c r="N51" s="46"/>
      <c r="O51" s="46"/>
      <c r="P51" s="46"/>
      <c r="Q51" s="46"/>
      <c r="R51" s="46"/>
      <c r="S51" s="44"/>
    </row>
    <row r="52" spans="1:19" ht="12.75" customHeight="1">
      <c r="A52" s="46"/>
      <c r="B52" s="45"/>
      <c r="C52" s="46" t="s">
        <v>338</v>
      </c>
      <c r="F52" s="45" t="s">
        <v>339</v>
      </c>
      <c r="G52" s="46"/>
      <c r="H52" s="46"/>
      <c r="I52" s="46"/>
      <c r="J52" s="46"/>
      <c r="K52" s="46"/>
      <c r="L52" s="46"/>
      <c r="M52" s="46"/>
      <c r="N52" s="46"/>
      <c r="O52" s="46"/>
      <c r="P52" s="46"/>
      <c r="Q52" s="46"/>
      <c r="R52" s="46"/>
      <c r="S52" s="44"/>
    </row>
    <row r="53" spans="1:19" ht="12.75" customHeight="1">
      <c r="A53" s="46"/>
      <c r="B53" s="45"/>
      <c r="C53" s="46"/>
      <c r="F53" s="46"/>
      <c r="G53" s="46"/>
      <c r="H53" s="46"/>
      <c r="I53" s="46"/>
      <c r="J53" s="46"/>
      <c r="K53" s="46"/>
      <c r="L53" s="46"/>
      <c r="M53" s="46"/>
      <c r="N53" s="46"/>
      <c r="O53" s="46"/>
      <c r="P53" s="46"/>
      <c r="Q53" s="46"/>
      <c r="R53" s="46"/>
      <c r="S53" s="44"/>
    </row>
    <row r="54" spans="1:19" ht="12.75" customHeight="1">
      <c r="A54" s="46" t="s">
        <v>125</v>
      </c>
      <c r="B54" s="46" t="s">
        <v>456</v>
      </c>
      <c r="C54" s="46"/>
      <c r="F54" s="46"/>
      <c r="G54" s="46"/>
      <c r="H54" s="46"/>
      <c r="I54" s="46"/>
      <c r="J54" s="46"/>
      <c r="K54" s="46"/>
      <c r="L54" s="46"/>
      <c r="M54" s="46"/>
      <c r="N54" s="46"/>
      <c r="O54" s="46"/>
      <c r="P54" s="46"/>
      <c r="Q54" s="46"/>
      <c r="R54" s="46"/>
      <c r="S54" s="44"/>
    </row>
    <row r="55" spans="1:19" ht="12.75" customHeight="1">
      <c r="A55" s="46"/>
      <c r="B55" s="45"/>
      <c r="C55" s="46" t="s">
        <v>426</v>
      </c>
      <c r="F55" s="46"/>
      <c r="G55" s="46"/>
      <c r="H55" s="46"/>
      <c r="I55" s="46"/>
      <c r="J55" s="46"/>
      <c r="K55" s="46"/>
      <c r="L55" s="46"/>
      <c r="M55" s="46"/>
      <c r="N55" s="46"/>
      <c r="O55" s="46"/>
      <c r="P55" s="46"/>
      <c r="Q55" s="46"/>
      <c r="R55" s="46"/>
      <c r="S55" s="44"/>
    </row>
    <row r="56" spans="1:19" ht="12.75" customHeight="1">
      <c r="A56" s="46"/>
      <c r="B56" s="45"/>
      <c r="C56" s="45" t="s">
        <v>340</v>
      </c>
      <c r="F56" s="46"/>
      <c r="G56" s="46"/>
      <c r="H56" s="46"/>
      <c r="I56" s="46"/>
      <c r="J56" s="46"/>
      <c r="K56" s="46"/>
      <c r="L56" s="46"/>
      <c r="M56" s="46"/>
      <c r="N56" s="46"/>
      <c r="O56" s="46"/>
      <c r="P56" s="46"/>
      <c r="Q56" s="46"/>
      <c r="R56" s="46"/>
      <c r="S56" s="44"/>
    </row>
    <row r="57" spans="1:19" ht="12.75" customHeight="1">
      <c r="A57" s="46"/>
      <c r="B57" s="45"/>
      <c r="C57" s="46" t="s">
        <v>431</v>
      </c>
      <c r="F57" s="46"/>
      <c r="G57" s="46"/>
      <c r="H57" s="46"/>
      <c r="I57" s="46"/>
      <c r="J57" s="46"/>
      <c r="K57" s="46"/>
      <c r="L57" s="46"/>
      <c r="M57" s="46"/>
      <c r="N57" s="46"/>
      <c r="O57" s="46"/>
      <c r="P57" s="46"/>
      <c r="Q57" s="46"/>
      <c r="R57" s="46"/>
      <c r="S57" s="44"/>
    </row>
    <row r="58" spans="1:19" ht="12.75" customHeight="1">
      <c r="A58" s="46"/>
      <c r="B58" s="45"/>
      <c r="C58" s="46"/>
      <c r="F58" s="46"/>
      <c r="G58" s="46"/>
      <c r="H58" s="46"/>
      <c r="I58" s="46"/>
      <c r="J58" s="46"/>
      <c r="K58" s="46"/>
      <c r="L58" s="46"/>
      <c r="M58" s="46"/>
      <c r="N58" s="46"/>
      <c r="O58" s="46"/>
      <c r="P58" s="46"/>
      <c r="Q58" s="46"/>
      <c r="R58" s="46"/>
      <c r="S58" s="44"/>
    </row>
    <row r="59" spans="1:19" ht="12.75" customHeight="1">
      <c r="A59" s="46" t="s">
        <v>275</v>
      </c>
      <c r="B59" s="46" t="s">
        <v>457</v>
      </c>
      <c r="C59" s="46"/>
      <c r="F59" s="46"/>
      <c r="G59" s="46"/>
      <c r="H59" s="46"/>
      <c r="I59" s="46"/>
      <c r="J59" s="46"/>
      <c r="K59" s="46"/>
      <c r="L59" s="46"/>
      <c r="M59" s="46"/>
      <c r="N59" s="46"/>
      <c r="O59" s="46"/>
      <c r="P59" s="46"/>
      <c r="Q59" s="46"/>
      <c r="R59" s="46"/>
      <c r="S59" s="44"/>
    </row>
    <row r="60" spans="1:19" ht="12.75" customHeight="1">
      <c r="A60" s="46"/>
      <c r="B60" s="45"/>
      <c r="C60" s="46" t="s">
        <v>425</v>
      </c>
      <c r="F60" s="46"/>
      <c r="G60" s="46"/>
      <c r="H60" s="46"/>
      <c r="I60" s="46"/>
      <c r="J60" s="46"/>
      <c r="K60" s="46"/>
      <c r="L60" s="46"/>
      <c r="M60" s="46"/>
      <c r="N60" s="46"/>
      <c r="O60" s="46"/>
      <c r="P60" s="46"/>
      <c r="Q60" s="46"/>
      <c r="R60" s="46"/>
      <c r="S60" s="44"/>
    </row>
    <row r="61" spans="1:19" ht="12.75" customHeight="1">
      <c r="A61" s="46"/>
      <c r="B61" s="45"/>
      <c r="C61" s="45" t="s">
        <v>341</v>
      </c>
      <c r="F61" s="46"/>
      <c r="G61" s="46"/>
      <c r="H61" s="46"/>
      <c r="I61" s="46"/>
      <c r="J61" s="46"/>
      <c r="K61" s="46"/>
      <c r="L61" s="46"/>
      <c r="M61" s="46"/>
      <c r="N61" s="46"/>
      <c r="O61" s="46"/>
      <c r="P61" s="46"/>
      <c r="Q61" s="46"/>
      <c r="R61" s="46"/>
      <c r="S61" s="44"/>
    </row>
    <row r="62" spans="1:19" ht="12.75" customHeight="1">
      <c r="A62" s="46"/>
      <c r="B62" s="45"/>
      <c r="C62" s="46" t="s">
        <v>437</v>
      </c>
      <c r="F62" s="46"/>
      <c r="G62" s="46"/>
      <c r="H62" s="46"/>
      <c r="I62" s="46"/>
      <c r="J62" s="46"/>
      <c r="K62" s="46"/>
      <c r="L62" s="46"/>
      <c r="M62" s="46"/>
      <c r="N62" s="46"/>
      <c r="O62" s="46"/>
      <c r="P62" s="46"/>
      <c r="Q62" s="46"/>
      <c r="R62" s="46"/>
      <c r="S62" s="44"/>
    </row>
    <row r="63" spans="1:19" ht="12.75" customHeight="1">
      <c r="A63" s="46"/>
      <c r="B63" s="45"/>
      <c r="C63" s="46"/>
      <c r="F63" s="46"/>
      <c r="G63" s="46"/>
      <c r="H63" s="46"/>
      <c r="I63" s="46"/>
      <c r="J63" s="46"/>
      <c r="K63" s="46"/>
      <c r="L63" s="46"/>
      <c r="M63" s="46"/>
      <c r="N63" s="46"/>
      <c r="O63" s="46"/>
      <c r="P63" s="46"/>
      <c r="Q63" s="46"/>
      <c r="R63" s="46"/>
      <c r="S63" s="44"/>
    </row>
    <row r="64" spans="1:19" ht="12.75" customHeight="1">
      <c r="A64" s="46" t="s">
        <v>276</v>
      </c>
      <c r="B64" s="46" t="s">
        <v>458</v>
      </c>
      <c r="C64" s="45"/>
      <c r="F64" s="46"/>
      <c r="G64" s="46"/>
      <c r="H64" s="46"/>
      <c r="I64" s="46"/>
      <c r="J64" s="46"/>
      <c r="K64" s="46"/>
      <c r="L64" s="46"/>
      <c r="M64" s="46"/>
      <c r="N64" s="46"/>
      <c r="O64" s="46"/>
      <c r="P64" s="46"/>
      <c r="Q64" s="46"/>
      <c r="R64" s="46"/>
      <c r="S64" s="44"/>
    </row>
    <row r="65" spans="1:19" ht="12.75" customHeight="1">
      <c r="A65" s="46"/>
      <c r="B65" s="45"/>
      <c r="C65" s="46" t="s">
        <v>15</v>
      </c>
      <c r="F65" s="46"/>
      <c r="G65" s="46"/>
      <c r="H65" s="46"/>
      <c r="I65" s="46"/>
      <c r="J65" s="46"/>
      <c r="K65" s="46"/>
      <c r="L65" s="46"/>
      <c r="M65" s="46"/>
      <c r="N65" s="46"/>
      <c r="O65" s="46"/>
      <c r="P65" s="46"/>
      <c r="Q65" s="46"/>
      <c r="R65" s="46"/>
      <c r="S65" s="44"/>
    </row>
    <row r="66" spans="1:19" ht="6" customHeight="1">
      <c r="A66" s="42"/>
      <c r="B66" s="42"/>
      <c r="C66" s="42"/>
      <c r="D66" s="44"/>
      <c r="E66" s="44"/>
      <c r="F66" s="44"/>
      <c r="G66" s="44"/>
      <c r="H66" s="44"/>
      <c r="I66" s="44"/>
      <c r="J66" s="44"/>
      <c r="K66" s="44"/>
      <c r="L66" s="44"/>
      <c r="M66" s="44"/>
      <c r="N66" s="44"/>
      <c r="O66" s="44"/>
      <c r="P66" s="44"/>
      <c r="Q66" s="44"/>
      <c r="R66" s="44"/>
      <c r="S66" s="44"/>
    </row>
    <row r="67" spans="1:19" ht="15.75" customHeight="1">
      <c r="A67" s="60"/>
      <c r="C67" s="46"/>
      <c r="D67" s="46"/>
      <c r="E67" s="46"/>
      <c r="F67" s="46"/>
      <c r="G67" s="46"/>
      <c r="H67" s="46"/>
      <c r="I67" s="46"/>
      <c r="J67" s="46"/>
      <c r="K67" s="46"/>
      <c r="L67" s="46"/>
      <c r="M67" s="46"/>
      <c r="N67" s="46"/>
      <c r="O67" s="46"/>
      <c r="P67" s="46"/>
      <c r="Q67" s="46"/>
      <c r="R67" s="46"/>
      <c r="S67" s="44"/>
    </row>
    <row r="68" spans="1:19" ht="15.75" customHeight="1">
      <c r="A68" s="46" t="s">
        <v>404</v>
      </c>
      <c r="B68" s="47" t="s">
        <v>459</v>
      </c>
      <c r="C68" s="46"/>
      <c r="D68" s="46"/>
      <c r="E68" s="46"/>
      <c r="F68" s="46"/>
      <c r="G68" s="46"/>
      <c r="H68" s="46"/>
      <c r="I68" s="46"/>
      <c r="J68" s="46"/>
      <c r="K68" s="46"/>
      <c r="L68" s="46"/>
      <c r="M68" s="46"/>
      <c r="N68" s="46"/>
      <c r="O68" s="46"/>
      <c r="P68" s="46"/>
      <c r="Q68" s="46"/>
      <c r="R68" s="46"/>
      <c r="S68" s="44"/>
    </row>
    <row r="69" spans="1:19" ht="15.75" customHeight="1">
      <c r="A69" s="46"/>
      <c r="B69" s="3"/>
      <c r="C69" s="46" t="s">
        <v>400</v>
      </c>
      <c r="D69" s="46"/>
      <c r="E69" s="46"/>
      <c r="F69" s="46"/>
      <c r="G69" s="46"/>
      <c r="H69" s="46"/>
      <c r="I69" s="46"/>
      <c r="J69" s="46"/>
      <c r="K69" s="46"/>
      <c r="L69" s="46"/>
      <c r="M69" s="46"/>
      <c r="N69" s="46"/>
      <c r="O69" s="46"/>
      <c r="P69" s="46"/>
      <c r="Q69" s="46"/>
      <c r="R69" s="46"/>
      <c r="S69" s="44"/>
    </row>
    <row r="70" spans="1:19" ht="15.75" customHeight="1">
      <c r="A70" s="46"/>
      <c r="B70" s="3"/>
      <c r="C70" s="45" t="s">
        <v>401</v>
      </c>
      <c r="D70" s="46"/>
      <c r="E70" s="46"/>
      <c r="F70" s="46"/>
      <c r="G70" s="46"/>
      <c r="H70" s="46"/>
      <c r="I70" s="46"/>
      <c r="J70" s="46"/>
      <c r="K70" s="46"/>
      <c r="L70" s="46"/>
      <c r="M70" s="46"/>
      <c r="N70" s="46"/>
      <c r="O70" s="46"/>
      <c r="P70" s="46"/>
      <c r="Q70" s="46"/>
      <c r="R70" s="46"/>
      <c r="S70" s="44"/>
    </row>
    <row r="71" spans="1:19" ht="15.75" customHeight="1">
      <c r="A71" s="46"/>
      <c r="B71" s="3"/>
      <c r="C71" s="45" t="s">
        <v>402</v>
      </c>
      <c r="D71" s="46"/>
      <c r="E71" s="46"/>
      <c r="F71" s="46"/>
      <c r="G71" s="46"/>
      <c r="H71" s="46"/>
      <c r="I71" s="46"/>
      <c r="J71" s="46"/>
      <c r="K71" s="46"/>
      <c r="L71" s="46"/>
      <c r="M71" s="46"/>
      <c r="N71" s="46"/>
      <c r="O71" s="46"/>
      <c r="P71" s="46"/>
      <c r="Q71" s="46"/>
      <c r="R71" s="46"/>
      <c r="S71" s="44"/>
    </row>
    <row r="72" spans="1:19" ht="15.75" customHeight="1">
      <c r="A72" s="46"/>
      <c r="B72" s="3"/>
      <c r="C72" s="45" t="s">
        <v>403</v>
      </c>
      <c r="D72" s="46"/>
      <c r="E72" s="46"/>
      <c r="F72" s="46"/>
      <c r="G72" s="46"/>
      <c r="H72" s="46"/>
      <c r="I72" s="46"/>
      <c r="J72" s="46"/>
      <c r="K72" s="46"/>
      <c r="L72" s="46"/>
      <c r="M72" s="46"/>
      <c r="N72" s="46"/>
      <c r="O72" s="46"/>
      <c r="P72" s="46"/>
      <c r="Q72" s="46"/>
      <c r="R72" s="46"/>
      <c r="S72" s="44"/>
    </row>
    <row r="73" spans="1:19" ht="15.75" customHeight="1">
      <c r="A73" s="46"/>
      <c r="B73" s="3"/>
      <c r="C73" s="46"/>
      <c r="D73" s="46"/>
      <c r="E73" s="46"/>
      <c r="F73" s="46"/>
      <c r="G73" s="46"/>
      <c r="H73" s="46"/>
      <c r="I73" s="46"/>
      <c r="J73" s="46"/>
      <c r="K73" s="46"/>
      <c r="L73" s="46"/>
      <c r="M73" s="46"/>
      <c r="N73" s="46"/>
      <c r="O73" s="46"/>
      <c r="P73" s="46"/>
      <c r="Q73" s="46"/>
      <c r="R73" s="46"/>
      <c r="S73" s="44"/>
    </row>
    <row r="74" spans="1:19" ht="15.75" customHeight="1">
      <c r="A74" s="46" t="s">
        <v>405</v>
      </c>
      <c r="B74" s="46" t="s">
        <v>460</v>
      </c>
      <c r="C74" s="46"/>
      <c r="D74" s="46"/>
      <c r="E74" s="46"/>
      <c r="F74" s="46"/>
      <c r="G74" s="46"/>
      <c r="H74" s="46"/>
      <c r="I74" s="46"/>
      <c r="J74" s="46"/>
      <c r="K74" s="46"/>
      <c r="L74" s="46"/>
      <c r="M74" s="46"/>
      <c r="N74" s="46"/>
      <c r="O74" s="46"/>
      <c r="P74" s="46"/>
      <c r="Q74" s="46"/>
      <c r="R74" s="46"/>
      <c r="S74" s="44"/>
    </row>
    <row r="75" spans="1:19" ht="15.75" customHeight="1">
      <c r="A75" s="46"/>
      <c r="B75" s="46"/>
      <c r="C75" s="46" t="s">
        <v>408</v>
      </c>
      <c r="D75" s="46"/>
      <c r="E75" s="46"/>
      <c r="F75" s="46"/>
      <c r="G75" s="46"/>
      <c r="H75" s="46"/>
      <c r="I75" s="46"/>
      <c r="J75" s="46"/>
      <c r="K75" s="46"/>
      <c r="L75" s="46"/>
      <c r="M75" s="46"/>
      <c r="N75" s="46"/>
      <c r="O75" s="46"/>
      <c r="P75" s="46"/>
      <c r="Q75" s="46"/>
      <c r="R75" s="46"/>
      <c r="S75" s="44"/>
    </row>
    <row r="76" spans="1:19" ht="15.75" customHeight="1">
      <c r="A76" s="46"/>
      <c r="B76" s="46"/>
      <c r="C76" s="45" t="s">
        <v>6</v>
      </c>
      <c r="D76" s="46"/>
      <c r="E76" s="46"/>
      <c r="F76" s="46"/>
      <c r="G76" s="46"/>
      <c r="H76" s="46"/>
      <c r="I76" s="46"/>
      <c r="J76" s="46"/>
      <c r="K76" s="46"/>
      <c r="L76" s="46"/>
      <c r="M76" s="46"/>
      <c r="N76" s="46"/>
      <c r="O76" s="46"/>
      <c r="P76" s="46"/>
      <c r="Q76" s="46"/>
      <c r="R76" s="46"/>
      <c r="S76" s="44"/>
    </row>
    <row r="77" spans="1:19" ht="15.75" customHeight="1">
      <c r="A77" s="46"/>
      <c r="B77" s="46"/>
      <c r="C77" s="45"/>
      <c r="D77" s="46"/>
      <c r="E77" s="46"/>
      <c r="F77" s="46"/>
      <c r="G77" s="46"/>
      <c r="H77" s="46"/>
      <c r="I77" s="46"/>
      <c r="J77" s="46"/>
      <c r="K77" s="46"/>
      <c r="L77" s="46"/>
      <c r="M77" s="46"/>
      <c r="N77" s="46"/>
      <c r="O77" s="46"/>
      <c r="P77" s="46"/>
      <c r="Q77" s="46"/>
      <c r="R77" s="46"/>
      <c r="S77" s="44"/>
    </row>
    <row r="78" spans="1:19" ht="15.75" customHeight="1">
      <c r="A78" s="46"/>
      <c r="B78" s="45" t="s">
        <v>461</v>
      </c>
      <c r="C78" s="46"/>
      <c r="D78" s="46"/>
      <c r="E78" s="46"/>
      <c r="F78" s="46"/>
      <c r="G78" s="46"/>
      <c r="H78" s="46"/>
      <c r="I78" s="46"/>
      <c r="J78" s="46"/>
      <c r="K78" s="46"/>
      <c r="L78" s="46"/>
      <c r="M78" s="46"/>
      <c r="N78" s="46"/>
      <c r="O78" s="46"/>
      <c r="P78" s="46"/>
      <c r="Q78" s="46"/>
      <c r="R78" s="46"/>
      <c r="S78" s="44"/>
    </row>
    <row r="79" spans="1:19" ht="15.75" customHeight="1">
      <c r="A79" s="46"/>
      <c r="B79" s="45"/>
      <c r="C79" s="46" t="s">
        <v>409</v>
      </c>
      <c r="D79" s="46"/>
      <c r="E79" s="46"/>
      <c r="F79" s="46"/>
      <c r="G79" s="46"/>
      <c r="H79" s="46"/>
      <c r="I79" s="46"/>
      <c r="J79" s="46"/>
      <c r="K79" s="46"/>
      <c r="L79" s="46"/>
      <c r="M79" s="46"/>
      <c r="N79" s="46"/>
      <c r="O79" s="46"/>
      <c r="P79" s="46"/>
      <c r="Q79" s="46"/>
      <c r="R79" s="46"/>
      <c r="S79" s="44"/>
    </row>
    <row r="80" spans="1:19" ht="15.75" customHeight="1">
      <c r="A80" s="46"/>
      <c r="B80" s="46"/>
      <c r="C80" s="46"/>
      <c r="D80" s="46"/>
      <c r="E80" s="46"/>
      <c r="F80" s="46"/>
      <c r="G80" s="46"/>
      <c r="H80" s="46"/>
      <c r="I80" s="46"/>
      <c r="J80" s="46"/>
      <c r="K80" s="46"/>
      <c r="L80" s="46"/>
      <c r="M80" s="46"/>
      <c r="N80" s="46"/>
      <c r="O80" s="46"/>
      <c r="P80" s="46"/>
      <c r="Q80" s="46"/>
      <c r="R80" s="46"/>
      <c r="S80" s="44"/>
    </row>
    <row r="81" spans="1:19" ht="15.75" customHeight="1">
      <c r="A81" s="46" t="s">
        <v>406</v>
      </c>
      <c r="B81" s="46" t="s">
        <v>462</v>
      </c>
      <c r="C81" s="46"/>
      <c r="D81" s="46"/>
      <c r="E81" s="46"/>
      <c r="F81" s="46"/>
      <c r="G81" s="46"/>
      <c r="H81" s="46"/>
      <c r="I81" s="46"/>
      <c r="J81" s="46"/>
      <c r="K81" s="46"/>
      <c r="L81" s="46"/>
      <c r="M81" s="46"/>
      <c r="N81" s="46"/>
      <c r="O81" s="46"/>
      <c r="P81" s="46"/>
      <c r="Q81" s="46"/>
      <c r="R81" s="46"/>
      <c r="S81" s="44"/>
    </row>
    <row r="82" spans="1:19" ht="15.75" customHeight="1">
      <c r="A82" s="46"/>
      <c r="B82" s="46"/>
      <c r="C82" s="46" t="s">
        <v>410</v>
      </c>
      <c r="D82" s="46"/>
      <c r="E82" s="46"/>
      <c r="F82" s="46"/>
      <c r="G82" s="46"/>
      <c r="H82" s="46"/>
      <c r="I82" s="46"/>
      <c r="J82" s="46"/>
      <c r="K82" s="46"/>
      <c r="L82" s="46"/>
      <c r="M82" s="46"/>
      <c r="N82" s="46"/>
      <c r="O82" s="46"/>
      <c r="P82" s="46"/>
      <c r="Q82" s="46"/>
      <c r="R82" s="46"/>
      <c r="S82" s="44"/>
    </row>
    <row r="83" spans="1:19" ht="15.75" customHeight="1">
      <c r="A83" s="46"/>
      <c r="B83" s="46"/>
      <c r="C83" s="45"/>
      <c r="D83" s="46"/>
      <c r="E83" s="46"/>
      <c r="F83" s="46"/>
      <c r="G83" s="46"/>
      <c r="H83" s="46"/>
      <c r="I83" s="46"/>
      <c r="J83" s="46"/>
      <c r="K83" s="46"/>
      <c r="L83" s="46"/>
      <c r="M83" s="46"/>
      <c r="N83" s="46"/>
      <c r="O83" s="46"/>
      <c r="P83" s="46"/>
      <c r="Q83" s="46"/>
      <c r="R83" s="46"/>
      <c r="S83" s="44"/>
    </row>
    <row r="84" spans="1:19" ht="15.75" customHeight="1">
      <c r="A84" s="42"/>
      <c r="B84" s="42"/>
      <c r="C84" s="42"/>
      <c r="D84" s="45"/>
      <c r="E84" s="45"/>
      <c r="F84" s="45"/>
      <c r="G84" s="45"/>
      <c r="H84" s="45"/>
      <c r="I84" s="46"/>
      <c r="J84" s="46"/>
      <c r="K84" s="46"/>
      <c r="L84" s="46"/>
      <c r="M84" s="46"/>
      <c r="N84" s="46"/>
      <c r="O84" s="46"/>
      <c r="P84" s="46"/>
      <c r="Q84" s="46"/>
      <c r="R84" s="46"/>
      <c r="S84" s="44"/>
    </row>
    <row r="85" spans="1:19" ht="15.75" customHeight="1">
      <c r="A85" s="42" t="s">
        <v>407</v>
      </c>
      <c r="B85" s="46" t="s">
        <v>463</v>
      </c>
      <c r="C85" s="42"/>
      <c r="D85" s="45"/>
      <c r="E85" s="45"/>
      <c r="F85" s="45"/>
      <c r="G85" s="45"/>
      <c r="H85" s="45"/>
      <c r="I85" s="46"/>
      <c r="J85" s="46"/>
      <c r="K85" s="46"/>
      <c r="L85" s="46"/>
      <c r="M85" s="46"/>
      <c r="N85" s="46"/>
      <c r="O85" s="46"/>
      <c r="P85" s="46"/>
      <c r="Q85" s="46"/>
      <c r="R85" s="46"/>
      <c r="S85" s="44"/>
    </row>
    <row r="86" spans="1:19" ht="15.75" customHeight="1">
      <c r="A86" s="42"/>
      <c r="B86" s="42"/>
      <c r="C86" s="42" t="s">
        <v>411</v>
      </c>
      <c r="D86" s="45"/>
      <c r="E86" s="45"/>
      <c r="F86" s="45"/>
      <c r="G86" s="45"/>
      <c r="H86" s="45"/>
      <c r="I86" s="46"/>
      <c r="J86" s="46"/>
      <c r="K86" s="46"/>
      <c r="L86" s="46"/>
      <c r="M86" s="46"/>
      <c r="N86" s="46"/>
      <c r="O86" s="46"/>
      <c r="P86" s="46"/>
      <c r="Q86" s="46"/>
      <c r="R86" s="46"/>
      <c r="S86" s="44"/>
    </row>
    <row r="87" spans="1:19" ht="15.75" customHeight="1">
      <c r="A87" s="42"/>
      <c r="B87" s="42"/>
      <c r="C87" s="45" t="s">
        <v>13</v>
      </c>
      <c r="D87" s="45"/>
      <c r="E87" s="45"/>
      <c r="F87" s="45"/>
      <c r="G87" s="45"/>
      <c r="H87" s="45"/>
      <c r="I87" s="46"/>
      <c r="J87" s="46"/>
      <c r="K87" s="46"/>
      <c r="L87" s="46"/>
      <c r="M87" s="46"/>
      <c r="N87" s="46"/>
      <c r="O87" s="46"/>
      <c r="P87" s="46"/>
      <c r="Q87" s="46"/>
      <c r="R87" s="46"/>
      <c r="S87" s="44"/>
    </row>
    <row r="88" spans="1:19" ht="15.75" customHeight="1">
      <c r="A88" s="42"/>
      <c r="B88" s="42"/>
      <c r="C88" s="44" t="s">
        <v>412</v>
      </c>
      <c r="D88" s="45"/>
      <c r="E88" s="45"/>
      <c r="F88" s="45"/>
      <c r="G88" s="45"/>
      <c r="H88" s="45"/>
      <c r="I88" s="46"/>
      <c r="J88" s="46"/>
      <c r="K88" s="46"/>
      <c r="L88" s="46"/>
      <c r="M88" s="46"/>
      <c r="N88" s="46"/>
      <c r="O88" s="46"/>
      <c r="P88" s="46"/>
      <c r="Q88" s="46"/>
      <c r="R88" s="46"/>
      <c r="S88" s="44"/>
    </row>
    <row r="89" spans="1:19" ht="15.75" customHeight="1">
      <c r="A89" s="60"/>
      <c r="C89" s="401"/>
      <c r="D89" s="402"/>
      <c r="E89" s="402"/>
      <c r="F89" s="402"/>
      <c r="G89" s="403" t="s">
        <v>416</v>
      </c>
      <c r="H89" s="46"/>
      <c r="I89" s="46"/>
      <c r="J89" s="46"/>
      <c r="K89" s="46"/>
      <c r="L89" s="46"/>
      <c r="M89" s="46"/>
      <c r="N89" s="46"/>
      <c r="O89" s="46"/>
      <c r="P89" s="46"/>
      <c r="Q89" s="46"/>
      <c r="R89" s="46"/>
      <c r="S89" s="44"/>
    </row>
    <row r="90" spans="1:19" ht="15.75" customHeight="1">
      <c r="A90" s="60"/>
      <c r="C90" s="404" t="s">
        <v>413</v>
      </c>
      <c r="D90" s="405"/>
      <c r="E90" s="405"/>
      <c r="F90" s="405"/>
      <c r="G90" s="406">
        <v>4.9000000000000004</v>
      </c>
      <c r="H90" s="46"/>
      <c r="I90" s="46"/>
      <c r="J90" s="46"/>
      <c r="K90" s="46"/>
      <c r="L90" s="46"/>
      <c r="M90" s="46"/>
      <c r="N90" s="46"/>
      <c r="O90" s="46"/>
      <c r="P90" s="46"/>
      <c r="Q90" s="46"/>
      <c r="R90" s="46"/>
      <c r="S90" s="44"/>
    </row>
    <row r="91" spans="1:19" ht="15.75" customHeight="1">
      <c r="A91" s="60"/>
      <c r="C91" s="404" t="s">
        <v>382</v>
      </c>
      <c r="D91" s="405"/>
      <c r="E91" s="405"/>
      <c r="F91" s="405"/>
      <c r="G91" s="407"/>
      <c r="H91" s="46"/>
      <c r="I91" s="46"/>
      <c r="J91" s="46"/>
      <c r="K91" s="46"/>
      <c r="L91" s="46"/>
      <c r="M91" s="46"/>
      <c r="N91" s="46"/>
      <c r="O91" s="46"/>
      <c r="P91" s="46"/>
      <c r="Q91" s="46"/>
      <c r="R91" s="46"/>
      <c r="S91" s="44"/>
    </row>
    <row r="92" spans="1:19" ht="15.75" customHeight="1">
      <c r="A92" s="60"/>
      <c r="C92" s="404" t="s">
        <v>414</v>
      </c>
      <c r="D92" s="405"/>
      <c r="E92" s="405"/>
      <c r="F92" s="405"/>
      <c r="G92" s="407">
        <v>1.2</v>
      </c>
      <c r="H92" s="46"/>
      <c r="I92" s="46"/>
      <c r="J92" s="46"/>
      <c r="K92" s="46"/>
      <c r="L92" s="46"/>
      <c r="M92" s="46"/>
      <c r="N92" s="46"/>
      <c r="O92" s="46"/>
      <c r="P92" s="46"/>
      <c r="Q92" s="46"/>
      <c r="R92" s="46"/>
      <c r="S92" s="44"/>
    </row>
    <row r="93" spans="1:19" ht="15.75" customHeight="1">
      <c r="A93" s="60"/>
      <c r="C93" s="404" t="s">
        <v>415</v>
      </c>
      <c r="D93" s="405"/>
      <c r="E93" s="405"/>
      <c r="F93" s="405"/>
      <c r="G93" s="407">
        <v>0</v>
      </c>
      <c r="H93" s="46"/>
      <c r="I93" s="46"/>
      <c r="J93" s="46"/>
      <c r="K93" s="46"/>
      <c r="L93" s="46"/>
      <c r="M93" s="46"/>
      <c r="N93" s="46"/>
      <c r="O93" s="46"/>
      <c r="P93" s="46"/>
      <c r="Q93" s="46"/>
      <c r="R93" s="46"/>
      <c r="S93" s="44"/>
    </row>
    <row r="94" spans="1:19" ht="15.75" customHeight="1">
      <c r="A94" s="60"/>
      <c r="C94" s="408"/>
      <c r="D94" s="409"/>
      <c r="E94" s="409"/>
      <c r="F94" s="409"/>
      <c r="G94" s="410"/>
      <c r="H94" s="46"/>
      <c r="I94" s="46"/>
      <c r="J94" s="46"/>
      <c r="K94" s="46"/>
      <c r="L94" s="46"/>
      <c r="M94" s="46"/>
      <c r="N94" s="46"/>
      <c r="O94" s="46"/>
      <c r="P94" s="46"/>
      <c r="Q94" s="46"/>
      <c r="R94" s="46"/>
      <c r="S94" s="44"/>
    </row>
    <row r="95" spans="1:19" ht="15.75" customHeight="1">
      <c r="A95" s="60"/>
      <c r="C95" s="46"/>
      <c r="D95" s="46"/>
      <c r="E95" s="46"/>
      <c r="F95" s="46"/>
      <c r="G95" s="46"/>
      <c r="H95" s="46"/>
      <c r="I95" s="46"/>
      <c r="J95" s="46"/>
      <c r="K95" s="46"/>
      <c r="L95" s="46"/>
      <c r="M95" s="46"/>
      <c r="N95" s="46"/>
      <c r="O95" s="46"/>
      <c r="P95" s="46"/>
      <c r="Q95" s="46"/>
      <c r="R95" s="46"/>
      <c r="S95" s="44"/>
    </row>
    <row r="96" spans="1:19" ht="15.75" customHeight="1">
      <c r="A96" s="60"/>
      <c r="C96" s="46"/>
      <c r="D96" s="46"/>
      <c r="E96" s="46"/>
      <c r="F96" s="46"/>
      <c r="G96" s="46"/>
      <c r="H96" s="46"/>
      <c r="I96" s="46"/>
      <c r="J96" s="46"/>
      <c r="K96" s="46"/>
      <c r="L96" s="46"/>
      <c r="M96" s="46"/>
      <c r="N96" s="46"/>
      <c r="O96" s="46"/>
      <c r="P96" s="46"/>
      <c r="Q96" s="46"/>
      <c r="R96" s="46"/>
      <c r="S96" s="44"/>
    </row>
    <row r="97" spans="2:12">
      <c r="B97" s="44" t="s">
        <v>268</v>
      </c>
    </row>
    <row r="98" spans="2:12">
      <c r="B98" s="3" t="s">
        <v>49</v>
      </c>
    </row>
    <row r="99" spans="2:12">
      <c r="B99" s="3"/>
    </row>
    <row r="100" spans="2:12">
      <c r="B100" s="435" t="s">
        <v>240</v>
      </c>
      <c r="C100" s="436"/>
      <c r="D100" s="437"/>
      <c r="E100" s="132" t="s">
        <v>254</v>
      </c>
      <c r="F100" s="97"/>
      <c r="G100" s="96"/>
      <c r="H100" s="98"/>
      <c r="I100" s="133"/>
      <c r="J100" s="134"/>
      <c r="K100" s="97" t="s">
        <v>326</v>
      </c>
      <c r="L100" s="99" t="s">
        <v>327</v>
      </c>
    </row>
    <row r="101" spans="2:12">
      <c r="B101" s="100" t="s">
        <v>237</v>
      </c>
      <c r="C101" s="135"/>
      <c r="D101" s="94"/>
      <c r="E101" s="101" t="s">
        <v>241</v>
      </c>
      <c r="F101" s="5"/>
      <c r="G101" s="5"/>
      <c r="H101" s="135"/>
      <c r="I101" s="135"/>
      <c r="J101" s="102"/>
      <c r="K101" s="79">
        <v>0</v>
      </c>
      <c r="L101" s="87">
        <v>0</v>
      </c>
    </row>
    <row r="102" spans="2:12">
      <c r="B102" s="100"/>
      <c r="C102" s="135"/>
      <c r="D102" s="94"/>
      <c r="E102" s="101" t="s">
        <v>342</v>
      </c>
      <c r="F102" s="5"/>
      <c r="G102" s="5"/>
      <c r="H102" s="135"/>
      <c r="I102" s="135"/>
      <c r="J102" s="102"/>
      <c r="K102" s="79"/>
      <c r="L102" s="87"/>
    </row>
    <row r="103" spans="2:12">
      <c r="B103" s="100"/>
      <c r="C103" s="135"/>
      <c r="D103" s="94"/>
      <c r="E103" s="101" t="s">
        <v>343</v>
      </c>
      <c r="F103" s="5"/>
      <c r="G103" s="5"/>
      <c r="H103" s="135"/>
      <c r="I103" s="135"/>
      <c r="J103" s="102"/>
      <c r="K103" s="79"/>
      <c r="L103" s="87"/>
    </row>
    <row r="104" spans="2:12">
      <c r="B104" s="100"/>
      <c r="C104" s="135"/>
      <c r="D104" s="94"/>
      <c r="E104" s="101" t="s">
        <v>344</v>
      </c>
      <c r="F104" s="5"/>
      <c r="G104" s="5"/>
      <c r="H104" s="135"/>
      <c r="I104" s="135"/>
      <c r="J104" s="102"/>
      <c r="K104" s="79"/>
      <c r="L104" s="87"/>
    </row>
    <row r="105" spans="2:12">
      <c r="B105" s="100"/>
      <c r="C105" s="135"/>
      <c r="D105" s="94"/>
      <c r="E105" s="101" t="s">
        <v>53</v>
      </c>
      <c r="F105" s="5"/>
      <c r="G105" s="5"/>
      <c r="H105" s="135"/>
      <c r="I105" s="135"/>
      <c r="J105" s="102"/>
      <c r="K105" s="79"/>
      <c r="L105" s="87"/>
    </row>
    <row r="106" spans="2:12">
      <c r="B106" s="100"/>
      <c r="C106" s="135"/>
      <c r="D106" s="94"/>
      <c r="E106" s="101" t="s">
        <v>345</v>
      </c>
      <c r="F106" s="5"/>
      <c r="G106" s="5"/>
      <c r="H106" s="135"/>
      <c r="I106" s="135"/>
      <c r="J106" s="102"/>
      <c r="K106" s="79"/>
      <c r="L106" s="87"/>
    </row>
    <row r="107" spans="2:12">
      <c r="B107" s="100"/>
      <c r="C107" s="135"/>
      <c r="D107" s="94"/>
      <c r="E107" s="101" t="s">
        <v>346</v>
      </c>
      <c r="F107" s="5"/>
      <c r="G107" s="5"/>
      <c r="H107" s="135"/>
      <c r="I107" s="135"/>
      <c r="J107" s="102"/>
      <c r="K107" s="79"/>
      <c r="L107" s="87"/>
    </row>
    <row r="108" spans="2:12">
      <c r="B108" s="100"/>
      <c r="C108" s="135"/>
      <c r="D108" s="94"/>
      <c r="E108" s="101" t="s">
        <v>347</v>
      </c>
      <c r="F108" s="5"/>
      <c r="G108" s="5"/>
      <c r="H108" s="135"/>
      <c r="I108" s="135"/>
      <c r="J108" s="102"/>
      <c r="K108" s="79"/>
      <c r="L108" s="87"/>
    </row>
    <row r="109" spans="2:12">
      <c r="B109" s="100"/>
      <c r="C109" s="135"/>
      <c r="D109" s="94"/>
      <c r="E109" s="101" t="s">
        <v>348</v>
      </c>
      <c r="F109" s="5"/>
      <c r="G109" s="5"/>
      <c r="H109" s="135"/>
      <c r="I109" s="135"/>
      <c r="J109" s="102"/>
      <c r="K109" s="79"/>
      <c r="L109" s="87"/>
    </row>
    <row r="110" spans="2:12">
      <c r="B110" s="100"/>
      <c r="C110" s="135"/>
      <c r="D110" s="94"/>
      <c r="E110" s="101" t="s">
        <v>349</v>
      </c>
      <c r="F110" s="5"/>
      <c r="G110" s="5"/>
      <c r="H110" s="135"/>
      <c r="I110" s="135"/>
      <c r="J110" s="102"/>
      <c r="K110" s="79"/>
      <c r="L110" s="87"/>
    </row>
    <row r="111" spans="2:12">
      <c r="B111" s="100"/>
      <c r="C111" s="135"/>
      <c r="D111" s="94"/>
      <c r="E111" s="101" t="s">
        <v>350</v>
      </c>
      <c r="F111" s="5"/>
      <c r="G111" s="5"/>
      <c r="H111" s="135"/>
      <c r="I111" s="135"/>
      <c r="J111" s="102"/>
      <c r="K111" s="79"/>
      <c r="L111" s="87"/>
    </row>
    <row r="112" spans="2:12">
      <c r="B112" s="100"/>
      <c r="C112" s="135"/>
      <c r="D112" s="94"/>
      <c r="E112" s="101" t="s">
        <v>351</v>
      </c>
      <c r="F112" s="5"/>
      <c r="G112" s="5"/>
      <c r="H112" s="135"/>
      <c r="I112" s="135"/>
      <c r="J112" s="102"/>
      <c r="K112" s="79"/>
      <c r="L112" s="87"/>
    </row>
    <row r="113" spans="2:12">
      <c r="B113" s="272"/>
      <c r="C113" s="136"/>
      <c r="D113" s="278"/>
      <c r="E113" s="273" t="s">
        <v>352</v>
      </c>
      <c r="F113" s="92"/>
      <c r="G113" s="92"/>
      <c r="H113" s="136"/>
      <c r="I113" s="136"/>
      <c r="J113" s="274"/>
      <c r="K113" s="279"/>
      <c r="L113" s="280"/>
    </row>
    <row r="114" spans="2:12">
      <c r="B114" s="281" t="s">
        <v>238</v>
      </c>
      <c r="C114" s="282"/>
      <c r="D114" s="283"/>
      <c r="E114" s="284" t="s">
        <v>353</v>
      </c>
      <c r="F114" s="285"/>
      <c r="G114" s="285"/>
      <c r="H114" s="282"/>
      <c r="I114" s="282"/>
      <c r="J114" s="286"/>
      <c r="K114" s="287">
        <v>0.3</v>
      </c>
      <c r="L114" s="288">
        <v>0.3</v>
      </c>
    </row>
    <row r="115" spans="2:12">
      <c r="B115" s="272"/>
      <c r="C115" s="136"/>
      <c r="D115" s="278"/>
      <c r="E115" s="273" t="s">
        <v>354</v>
      </c>
      <c r="F115" s="92"/>
      <c r="G115" s="92"/>
      <c r="H115" s="136"/>
      <c r="I115" s="136"/>
      <c r="J115" s="274"/>
      <c r="K115" s="279"/>
      <c r="L115" s="280"/>
    </row>
    <row r="116" spans="2:12">
      <c r="B116" s="100" t="s">
        <v>248</v>
      </c>
      <c r="C116" s="135"/>
      <c r="D116" s="94"/>
      <c r="E116" s="101" t="s">
        <v>355</v>
      </c>
      <c r="F116" s="5"/>
      <c r="G116" s="5"/>
      <c r="H116" s="135"/>
      <c r="I116" s="135"/>
      <c r="J116" s="102"/>
      <c r="K116" s="79">
        <v>0.8</v>
      </c>
      <c r="L116" s="87">
        <v>0.8</v>
      </c>
    </row>
    <row r="117" spans="2:12">
      <c r="B117" s="273"/>
      <c r="C117" s="136"/>
      <c r="D117" s="278"/>
      <c r="E117" s="273" t="s">
        <v>356</v>
      </c>
      <c r="F117" s="92"/>
      <c r="G117" s="92"/>
      <c r="H117" s="136"/>
      <c r="I117" s="136"/>
      <c r="J117" s="274"/>
      <c r="K117" s="279"/>
      <c r="L117" s="280"/>
    </row>
    <row r="118" spans="2:12">
      <c r="B118" s="100" t="s">
        <v>357</v>
      </c>
      <c r="C118" s="135"/>
      <c r="D118" s="94"/>
      <c r="E118" s="101" t="s">
        <v>358</v>
      </c>
      <c r="F118" s="5"/>
      <c r="G118" s="5"/>
      <c r="H118" s="135"/>
      <c r="I118" s="135"/>
      <c r="J118" s="102"/>
      <c r="K118" s="89">
        <v>0.2</v>
      </c>
      <c r="L118" s="90">
        <v>0.2</v>
      </c>
    </row>
    <row r="119" spans="2:12">
      <c r="B119" s="100"/>
      <c r="C119" s="135"/>
      <c r="D119" s="95"/>
      <c r="E119" s="101" t="s">
        <v>359</v>
      </c>
      <c r="F119" s="5"/>
      <c r="G119" s="5"/>
      <c r="H119" s="135"/>
      <c r="I119" s="135"/>
      <c r="J119" s="102"/>
      <c r="K119" s="89"/>
      <c r="L119" s="90"/>
    </row>
    <row r="120" spans="2:12">
      <c r="B120" s="272"/>
      <c r="C120" s="136"/>
      <c r="D120" s="93"/>
      <c r="E120" s="273" t="s">
        <v>360</v>
      </c>
      <c r="F120" s="92"/>
      <c r="G120" s="92"/>
      <c r="H120" s="136"/>
      <c r="I120" s="136"/>
      <c r="J120" s="274"/>
      <c r="K120" s="275"/>
      <c r="L120" s="276"/>
    </row>
    <row r="121" spans="2:12">
      <c r="B121" s="100" t="s">
        <v>361</v>
      </c>
      <c r="C121" s="135"/>
      <c r="D121" s="95"/>
      <c r="E121" s="101" t="s">
        <v>362</v>
      </c>
      <c r="F121" s="5"/>
      <c r="G121" s="5"/>
      <c r="H121" s="135"/>
      <c r="I121" s="135"/>
      <c r="J121" s="102"/>
      <c r="K121" s="89">
        <v>0.8</v>
      </c>
      <c r="L121" s="90">
        <v>0.8</v>
      </c>
    </row>
    <row r="122" spans="2:12">
      <c r="B122" s="100"/>
      <c r="C122" s="135"/>
      <c r="D122" s="95"/>
      <c r="E122" s="101" t="s">
        <v>24</v>
      </c>
      <c r="F122" s="5"/>
      <c r="G122" s="5"/>
      <c r="H122" s="135"/>
      <c r="I122" s="135"/>
      <c r="J122" s="102"/>
      <c r="K122" s="89"/>
      <c r="L122" s="90"/>
    </row>
    <row r="123" spans="2:12">
      <c r="B123" s="91"/>
      <c r="C123" s="136"/>
      <c r="D123" s="93"/>
      <c r="E123" s="91"/>
      <c r="F123" s="92"/>
      <c r="G123" s="92"/>
      <c r="H123" s="136"/>
      <c r="I123" s="136"/>
      <c r="J123" s="93"/>
      <c r="K123" s="92"/>
      <c r="L123" s="93"/>
    </row>
    <row r="124" spans="2:12">
      <c r="B124" s="3"/>
    </row>
    <row r="125" spans="2:12">
      <c r="B125" s="3"/>
    </row>
  </sheetData>
  <sheetProtection password="D286" sheet="1" objects="1" scenarios="1"/>
  <mergeCells count="1">
    <mergeCell ref="B100:D100"/>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Assumptions</oddFooter>
  </headerFooter>
  <rowBreaks count="1" manualBreakCount="1">
    <brk id="66" max="14" man="1"/>
  </rowBreaks>
  <colBreaks count="1" manualBreakCount="1">
    <brk id="22" max="81" man="1"/>
  </colBreaks>
</worksheet>
</file>

<file path=xl/worksheets/sheet7.xml><?xml version="1.0" encoding="utf-8"?>
<worksheet xmlns="http://schemas.openxmlformats.org/spreadsheetml/2006/main" xmlns:r="http://schemas.openxmlformats.org/officeDocument/2006/relationships">
  <sheetPr codeName="Sheet7" enableFormatConditionsCalculation="0">
    <tabColor indexed="21"/>
  </sheetPr>
  <dimension ref="A1:N104"/>
  <sheetViews>
    <sheetView view="pageBreakPreview" zoomScaleNormal="100" zoomScaleSheetLayoutView="100" workbookViewId="0">
      <selection activeCell="D21" sqref="D21"/>
    </sheetView>
  </sheetViews>
  <sheetFormatPr defaultRowHeight="13.5"/>
  <cols>
    <col min="1" max="1" width="4.28515625" style="309" customWidth="1"/>
    <col min="2" max="2" width="45.85546875" style="313" customWidth="1"/>
    <col min="3" max="3" width="5.42578125" style="311" bestFit="1" customWidth="1"/>
    <col min="4" max="4" width="13.42578125" style="311" bestFit="1" customWidth="1"/>
    <col min="5" max="5" width="11.85546875" style="311" customWidth="1"/>
    <col min="6" max="6" width="12" style="311" customWidth="1"/>
    <col min="7" max="7" width="10.28515625" style="315" customWidth="1"/>
    <col min="8" max="8" width="13.42578125" style="311" bestFit="1" customWidth="1"/>
    <col min="9" max="11" width="12" style="311" customWidth="1"/>
    <col min="12" max="12" width="0.85546875" style="311" customWidth="1"/>
    <col min="13" max="13" width="11.140625" style="312" customWidth="1"/>
    <col min="14" max="14" width="7.7109375" style="312" customWidth="1"/>
    <col min="15" max="16384" width="9.140625" style="313"/>
  </cols>
  <sheetData>
    <row r="1" spans="2:11" ht="20.25">
      <c r="B1" s="310" t="s">
        <v>280</v>
      </c>
      <c r="G1" s="446" t="s">
        <v>23</v>
      </c>
      <c r="H1" s="447"/>
      <c r="I1" s="447"/>
      <c r="J1" s="447"/>
      <c r="K1" s="448"/>
    </row>
    <row r="2" spans="2:11" ht="14.25" thickBot="1">
      <c r="B2" s="313" t="s">
        <v>291</v>
      </c>
      <c r="F2" s="314"/>
    </row>
    <row r="3" spans="2:11">
      <c r="B3" s="313" t="s">
        <v>106</v>
      </c>
      <c r="D3" s="316" t="s">
        <v>109</v>
      </c>
      <c r="E3" s="317" t="s">
        <v>282</v>
      </c>
      <c r="F3" s="318"/>
      <c r="G3" s="317" t="s">
        <v>283</v>
      </c>
      <c r="H3" s="319"/>
      <c r="I3" s="317" t="s">
        <v>285</v>
      </c>
      <c r="J3" s="320"/>
    </row>
    <row r="4" spans="2:11">
      <c r="B4" s="313" t="s">
        <v>292</v>
      </c>
      <c r="D4" s="321" t="s">
        <v>281</v>
      </c>
      <c r="E4" s="322">
        <v>200000</v>
      </c>
      <c r="F4" s="323" t="s">
        <v>284</v>
      </c>
      <c r="G4" s="322">
        <v>300000</v>
      </c>
      <c r="H4" s="323" t="s">
        <v>284</v>
      </c>
      <c r="I4" s="322">
        <v>100000</v>
      </c>
      <c r="J4" s="324" t="s">
        <v>284</v>
      </c>
    </row>
    <row r="5" spans="2:11">
      <c r="B5" s="313" t="s">
        <v>107</v>
      </c>
      <c r="D5" s="321" t="s">
        <v>133</v>
      </c>
      <c r="E5" s="322">
        <v>10</v>
      </c>
      <c r="F5" s="323" t="s">
        <v>131</v>
      </c>
      <c r="G5" s="322">
        <v>15</v>
      </c>
      <c r="H5" s="323" t="s">
        <v>131</v>
      </c>
      <c r="I5" s="322">
        <v>15</v>
      </c>
      <c r="J5" s="324" t="s">
        <v>131</v>
      </c>
    </row>
    <row r="6" spans="2:11">
      <c r="D6" s="321" t="s">
        <v>145</v>
      </c>
      <c r="E6" s="322"/>
      <c r="F6" s="323"/>
      <c r="G6" s="322"/>
      <c r="H6" s="323"/>
      <c r="I6" s="322">
        <v>10</v>
      </c>
      <c r="J6" s="324" t="s">
        <v>131</v>
      </c>
    </row>
    <row r="7" spans="2:11">
      <c r="B7" s="313" t="s">
        <v>22</v>
      </c>
      <c r="D7" s="321" t="s">
        <v>286</v>
      </c>
      <c r="E7" s="322"/>
      <c r="F7" s="323"/>
      <c r="G7" s="322"/>
      <c r="H7" s="323"/>
      <c r="I7" s="322">
        <v>12</v>
      </c>
      <c r="J7" s="324" t="s">
        <v>131</v>
      </c>
    </row>
    <row r="8" spans="2:11">
      <c r="B8" s="313" t="s">
        <v>290</v>
      </c>
      <c r="D8" s="321" t="s">
        <v>144</v>
      </c>
      <c r="E8" s="322"/>
      <c r="F8" s="323"/>
      <c r="G8" s="322"/>
      <c r="H8" s="323"/>
      <c r="I8" s="322">
        <v>5</v>
      </c>
      <c r="J8" s="324" t="s">
        <v>131</v>
      </c>
    </row>
    <row r="9" spans="2:11">
      <c r="B9" s="313" t="s">
        <v>464</v>
      </c>
      <c r="D9" s="325" t="s">
        <v>289</v>
      </c>
      <c r="E9" s="322"/>
      <c r="F9" s="323"/>
      <c r="G9" s="322"/>
      <c r="H9" s="323"/>
      <c r="I9" s="322">
        <v>2</v>
      </c>
      <c r="J9" s="326" t="s">
        <v>131</v>
      </c>
    </row>
    <row r="10" spans="2:11">
      <c r="B10" s="313" t="s">
        <v>105</v>
      </c>
      <c r="D10" s="325" t="s">
        <v>287</v>
      </c>
      <c r="E10" s="322"/>
      <c r="F10" s="323"/>
      <c r="G10" s="322"/>
      <c r="H10" s="323"/>
      <c r="I10" s="322">
        <v>1</v>
      </c>
      <c r="J10" s="326" t="s">
        <v>131</v>
      </c>
    </row>
    <row r="11" spans="2:11">
      <c r="B11" s="313" t="s">
        <v>8</v>
      </c>
      <c r="D11" s="321" t="s">
        <v>158</v>
      </c>
      <c r="E11" s="322"/>
      <c r="F11" s="323"/>
      <c r="G11" s="322"/>
      <c r="H11" s="323"/>
      <c r="I11" s="322">
        <v>55</v>
      </c>
      <c r="J11" s="326" t="s">
        <v>147</v>
      </c>
    </row>
    <row r="12" spans="2:11">
      <c r="B12" s="313" t="s">
        <v>466</v>
      </c>
      <c r="D12" s="321" t="s">
        <v>142</v>
      </c>
      <c r="E12" s="322">
        <v>125</v>
      </c>
      <c r="F12" s="323" t="s">
        <v>134</v>
      </c>
      <c r="G12" s="322">
        <v>335</v>
      </c>
      <c r="H12" s="323" t="s">
        <v>134</v>
      </c>
      <c r="I12" s="322">
        <v>540</v>
      </c>
      <c r="J12" s="326" t="s">
        <v>134</v>
      </c>
    </row>
    <row r="13" spans="2:11">
      <c r="B13" s="313" t="s">
        <v>465</v>
      </c>
      <c r="D13" s="321" t="s">
        <v>288</v>
      </c>
      <c r="E13" s="322"/>
      <c r="F13" s="323"/>
      <c r="G13" s="322"/>
      <c r="H13" s="323"/>
      <c r="I13" s="322">
        <v>45</v>
      </c>
      <c r="J13" s="326" t="s">
        <v>147</v>
      </c>
    </row>
    <row r="14" spans="2:11" ht="14.25" thickBot="1">
      <c r="D14" s="327"/>
      <c r="E14" s="328"/>
      <c r="F14" s="329"/>
      <c r="G14" s="328"/>
      <c r="H14" s="329"/>
      <c r="I14" s="328"/>
      <c r="J14" s="330"/>
    </row>
    <row r="15" spans="2:11">
      <c r="B15" s="313" t="s">
        <v>9</v>
      </c>
      <c r="F15" s="314"/>
      <c r="G15" s="311"/>
      <c r="H15" s="314"/>
      <c r="J15" s="331"/>
    </row>
    <row r="16" spans="2:11" ht="14.25" thickBot="1">
      <c r="B16" s="314"/>
      <c r="D16" s="314"/>
      <c r="E16" s="314"/>
      <c r="F16" s="314"/>
      <c r="G16" s="314"/>
      <c r="H16" s="314"/>
    </row>
    <row r="17" spans="1:14" ht="15.75">
      <c r="B17" s="454" t="s">
        <v>212</v>
      </c>
      <c r="C17" s="457" t="s">
        <v>150</v>
      </c>
      <c r="D17" s="452" t="s">
        <v>192</v>
      </c>
      <c r="E17" s="453"/>
      <c r="F17" s="453"/>
      <c r="G17" s="453"/>
      <c r="H17" s="449" t="s">
        <v>196</v>
      </c>
      <c r="I17" s="450"/>
      <c r="J17" s="450"/>
      <c r="K17" s="451"/>
      <c r="L17" s="332"/>
      <c r="M17" s="333" t="s">
        <v>171</v>
      </c>
      <c r="N17" s="334" t="s">
        <v>135</v>
      </c>
    </row>
    <row r="18" spans="1:14" s="315" customFormat="1" ht="28.5" customHeight="1">
      <c r="A18" s="335"/>
      <c r="B18" s="455"/>
      <c r="C18" s="458"/>
      <c r="D18" s="336" t="s">
        <v>193</v>
      </c>
      <c r="E18" s="337" t="s">
        <v>194</v>
      </c>
      <c r="F18" s="337" t="s">
        <v>195</v>
      </c>
      <c r="G18" s="338" t="s">
        <v>198</v>
      </c>
      <c r="H18" s="336" t="s">
        <v>193</v>
      </c>
      <c r="I18" s="337" t="s">
        <v>194</v>
      </c>
      <c r="J18" s="337" t="s">
        <v>195</v>
      </c>
      <c r="K18" s="339" t="s">
        <v>197</v>
      </c>
      <c r="L18" s="340"/>
      <c r="M18" s="333" t="s">
        <v>172</v>
      </c>
      <c r="N18" s="334"/>
    </row>
    <row r="19" spans="1:14" s="351" customFormat="1" ht="57.75" customHeight="1" thickBot="1">
      <c r="A19" s="341"/>
      <c r="B19" s="456"/>
      <c r="C19" s="459"/>
      <c r="D19" s="342" t="s">
        <v>170</v>
      </c>
      <c r="E19" s="343" t="s">
        <v>169</v>
      </c>
      <c r="F19" s="343" t="s">
        <v>148</v>
      </c>
      <c r="G19" s="344"/>
      <c r="H19" s="345" t="s">
        <v>293</v>
      </c>
      <c r="I19" s="346" t="s">
        <v>293</v>
      </c>
      <c r="J19" s="346" t="s">
        <v>293</v>
      </c>
      <c r="K19" s="347" t="s">
        <v>293</v>
      </c>
      <c r="L19" s="348"/>
      <c r="M19" s="349" t="s">
        <v>173</v>
      </c>
      <c r="N19" s="350"/>
    </row>
    <row r="20" spans="1:14">
      <c r="B20" s="352" t="s">
        <v>189</v>
      </c>
      <c r="C20" s="353"/>
      <c r="D20" s="352" t="s">
        <v>199</v>
      </c>
      <c r="E20" s="353"/>
      <c r="F20" s="353"/>
      <c r="G20" s="353"/>
      <c r="H20" s="354"/>
      <c r="I20" s="355"/>
      <c r="J20" s="355"/>
      <c r="K20" s="356"/>
      <c r="L20" s="357"/>
      <c r="M20" s="358"/>
    </row>
    <row r="21" spans="1:14" ht="15.75">
      <c r="B21" s="359" t="s">
        <v>20</v>
      </c>
      <c r="C21" s="360" t="s">
        <v>136</v>
      </c>
      <c r="D21" s="185">
        <v>200000</v>
      </c>
      <c r="E21" s="186">
        <v>300000</v>
      </c>
      <c r="F21" s="186">
        <v>100000</v>
      </c>
      <c r="G21" s="361">
        <f>IF(CONCATENATE(D21,E21,F21)="","",SUM(D21:F21))</f>
        <v>600000</v>
      </c>
      <c r="H21" s="362">
        <f t="shared" ref="H21:K23" si="0">IF(D21="","",D21*$N21)</f>
        <v>178</v>
      </c>
      <c r="I21" s="363">
        <f t="shared" si="0"/>
        <v>267</v>
      </c>
      <c r="J21" s="363">
        <f t="shared" si="0"/>
        <v>89</v>
      </c>
      <c r="K21" s="364">
        <f t="shared" si="0"/>
        <v>534</v>
      </c>
      <c r="L21" s="365"/>
      <c r="M21" s="366" t="s">
        <v>188</v>
      </c>
      <c r="N21" s="312">
        <f>0.89/1000</f>
        <v>8.9000000000000006E-4</v>
      </c>
    </row>
    <row r="22" spans="1:14" ht="15.75">
      <c r="B22" s="359" t="s">
        <v>21</v>
      </c>
      <c r="C22" s="360" t="s">
        <v>136</v>
      </c>
      <c r="D22" s="185"/>
      <c r="E22" s="186"/>
      <c r="F22" s="186"/>
      <c r="G22" s="361"/>
      <c r="H22" s="362"/>
      <c r="I22" s="363"/>
      <c r="J22" s="363"/>
      <c r="K22" s="364"/>
      <c r="L22" s="365"/>
      <c r="M22" s="366" t="s">
        <v>188</v>
      </c>
      <c r="N22" s="312">
        <f>0.88/1000</f>
        <v>8.8000000000000003E-4</v>
      </c>
    </row>
    <row r="23" spans="1:14" ht="15.75">
      <c r="B23" s="359" t="s">
        <v>191</v>
      </c>
      <c r="C23" s="360" t="s">
        <v>136</v>
      </c>
      <c r="D23" s="185"/>
      <c r="E23" s="186"/>
      <c r="F23" s="186"/>
      <c r="G23" s="361" t="str">
        <f>IF(CONCATENATE(D23,E23,F23)="","",SUM(D23:F23))</f>
        <v/>
      </c>
      <c r="H23" s="362" t="str">
        <f t="shared" si="0"/>
        <v/>
      </c>
      <c r="I23" s="363" t="str">
        <f t="shared" si="0"/>
        <v/>
      </c>
      <c r="J23" s="363" t="str">
        <f t="shared" si="0"/>
        <v/>
      </c>
      <c r="K23" s="364" t="str">
        <f t="shared" si="0"/>
        <v/>
      </c>
      <c r="L23" s="365"/>
      <c r="M23" s="366" t="s">
        <v>188</v>
      </c>
      <c r="N23" s="312">
        <f>1.21/1000</f>
        <v>1.2099999999999999E-3</v>
      </c>
    </row>
    <row r="24" spans="1:14">
      <c r="B24" s="367" t="s">
        <v>151</v>
      </c>
      <c r="C24" s="368" t="s">
        <v>271</v>
      </c>
      <c r="D24" s="369"/>
      <c r="E24" s="370"/>
      <c r="F24" s="370"/>
      <c r="G24" s="371"/>
      <c r="H24" s="372">
        <f>SUM(H21:H23)</f>
        <v>178</v>
      </c>
      <c r="I24" s="373">
        <f>SUM(I21:I23)</f>
        <v>267</v>
      </c>
      <c r="J24" s="373">
        <f>SUM(J21:J23)</f>
        <v>89</v>
      </c>
      <c r="K24" s="374">
        <f>SUM(K21:K23)</f>
        <v>534</v>
      </c>
      <c r="L24" s="365"/>
      <c r="M24" s="366"/>
    </row>
    <row r="25" spans="1:14" ht="9.75" customHeight="1">
      <c r="B25" s="375"/>
      <c r="C25" s="376"/>
      <c r="D25" s="369"/>
      <c r="E25" s="370"/>
      <c r="F25" s="370"/>
      <c r="G25" s="371"/>
      <c r="H25" s="362"/>
      <c r="I25" s="363"/>
      <c r="J25" s="363"/>
      <c r="K25" s="364"/>
      <c r="L25" s="322"/>
      <c r="M25" s="377"/>
    </row>
    <row r="26" spans="1:14">
      <c r="B26" s="378" t="s">
        <v>258</v>
      </c>
      <c r="C26" s="379"/>
      <c r="D26" s="380"/>
      <c r="E26" s="381"/>
      <c r="F26" s="381"/>
      <c r="G26" s="381"/>
      <c r="H26" s="382"/>
      <c r="I26" s="383"/>
      <c r="J26" s="383"/>
      <c r="K26" s="384"/>
      <c r="L26" s="357"/>
      <c r="M26" s="358"/>
    </row>
    <row r="27" spans="1:14">
      <c r="B27" s="375" t="s">
        <v>166</v>
      </c>
      <c r="C27" s="376" t="s">
        <v>131</v>
      </c>
      <c r="D27" s="187"/>
      <c r="E27" s="188"/>
      <c r="F27" s="188"/>
      <c r="G27" s="371" t="str">
        <f t="shared" ref="G27:G34" si="1">IF(CONCATENATE(D27,E27,F27)="","",SUM(D27:F27))</f>
        <v/>
      </c>
      <c r="H27" s="362" t="str">
        <f t="shared" ref="H27:J34" si="2">IF(D27="","",IF($C27="L",D27*$N27/1000,D27*$N27))</f>
        <v/>
      </c>
      <c r="I27" s="363" t="str">
        <f t="shared" si="2"/>
        <v/>
      </c>
      <c r="J27" s="363" t="str">
        <f t="shared" si="2"/>
        <v/>
      </c>
      <c r="K27" s="364" t="str">
        <f t="shared" ref="K27:K34" si="3">IF(CONCATENATE(H27,I27,J27)="","",SUM(H27:J27))</f>
        <v/>
      </c>
      <c r="L27" s="365"/>
      <c r="M27" s="366" t="s">
        <v>180</v>
      </c>
      <c r="N27" s="312">
        <v>2.2190240000000006</v>
      </c>
    </row>
    <row r="28" spans="1:14">
      <c r="B28" s="375" t="s">
        <v>167</v>
      </c>
      <c r="C28" s="376" t="s">
        <v>131</v>
      </c>
      <c r="D28" s="187"/>
      <c r="E28" s="188"/>
      <c r="F28" s="188"/>
      <c r="G28" s="371" t="str">
        <f t="shared" si="1"/>
        <v/>
      </c>
      <c r="H28" s="362" t="str">
        <f t="shared" si="2"/>
        <v/>
      </c>
      <c r="I28" s="363" t="str">
        <f t="shared" si="2"/>
        <v/>
      </c>
      <c r="J28" s="363" t="str">
        <f t="shared" si="2"/>
        <v/>
      </c>
      <c r="K28" s="364" t="str">
        <f t="shared" si="3"/>
        <v/>
      </c>
      <c r="L28" s="365"/>
      <c r="M28" s="366" t="s">
        <v>180</v>
      </c>
      <c r="N28" s="312">
        <v>2.5616479999999999</v>
      </c>
    </row>
    <row r="29" spans="1:14">
      <c r="B29" s="375" t="s">
        <v>181</v>
      </c>
      <c r="C29" s="376" t="s">
        <v>131</v>
      </c>
      <c r="D29" s="187">
        <v>10</v>
      </c>
      <c r="E29" s="188">
        <v>15</v>
      </c>
      <c r="F29" s="188">
        <v>15</v>
      </c>
      <c r="G29" s="371">
        <f t="shared" si="1"/>
        <v>40</v>
      </c>
      <c r="H29" s="362">
        <f t="shared" si="2"/>
        <v>29.203320000000001</v>
      </c>
      <c r="I29" s="363">
        <f t="shared" si="2"/>
        <v>43.80498</v>
      </c>
      <c r="J29" s="363">
        <f t="shared" si="2"/>
        <v>43.80498</v>
      </c>
      <c r="K29" s="364">
        <f t="shared" si="3"/>
        <v>116.81328000000001</v>
      </c>
      <c r="L29" s="365"/>
      <c r="M29" s="366" t="s">
        <v>180</v>
      </c>
      <c r="N29" s="312">
        <v>2.9203320000000001</v>
      </c>
    </row>
    <row r="30" spans="1:14">
      <c r="B30" s="375" t="s">
        <v>182</v>
      </c>
      <c r="C30" s="376" t="s">
        <v>131</v>
      </c>
      <c r="D30" s="187"/>
      <c r="E30" s="188"/>
      <c r="F30" s="188"/>
      <c r="G30" s="371" t="str">
        <f t="shared" si="1"/>
        <v/>
      </c>
      <c r="H30" s="362" t="str">
        <f t="shared" si="2"/>
        <v/>
      </c>
      <c r="I30" s="363" t="str">
        <f t="shared" si="2"/>
        <v/>
      </c>
      <c r="J30" s="363" t="str">
        <f t="shared" si="2"/>
        <v/>
      </c>
      <c r="K30" s="364" t="str">
        <f t="shared" si="3"/>
        <v/>
      </c>
      <c r="L30" s="365"/>
      <c r="M30" s="366" t="s">
        <v>180</v>
      </c>
      <c r="N30" s="312">
        <v>0.11764000000000001</v>
      </c>
    </row>
    <row r="31" spans="1:14">
      <c r="B31" s="375" t="s">
        <v>183</v>
      </c>
      <c r="C31" s="376" t="s">
        <v>131</v>
      </c>
      <c r="D31" s="187"/>
      <c r="E31" s="188"/>
      <c r="F31" s="188"/>
      <c r="G31" s="371" t="str">
        <f t="shared" si="1"/>
        <v/>
      </c>
      <c r="H31" s="362" t="str">
        <f t="shared" si="2"/>
        <v/>
      </c>
      <c r="I31" s="363" t="str">
        <f t="shared" si="2"/>
        <v/>
      </c>
      <c r="J31" s="363" t="str">
        <f t="shared" si="2"/>
        <v/>
      </c>
      <c r="K31" s="364" t="str">
        <f t="shared" si="3"/>
        <v/>
      </c>
      <c r="L31" s="365"/>
      <c r="M31" s="366" t="s">
        <v>180</v>
      </c>
      <c r="N31" s="312">
        <v>2.2886640000000003</v>
      </c>
    </row>
    <row r="32" spans="1:14">
      <c r="B32" s="375" t="s">
        <v>184</v>
      </c>
      <c r="C32" s="376" t="s">
        <v>131</v>
      </c>
      <c r="D32" s="187"/>
      <c r="E32" s="188"/>
      <c r="F32" s="188">
        <v>10</v>
      </c>
      <c r="G32" s="371">
        <f t="shared" si="1"/>
        <v>10</v>
      </c>
      <c r="H32" s="362" t="str">
        <f t="shared" si="2"/>
        <v/>
      </c>
      <c r="I32" s="363" t="str">
        <f t="shared" si="2"/>
        <v/>
      </c>
      <c r="J32" s="363">
        <f t="shared" si="2"/>
        <v>26.946660000000001</v>
      </c>
      <c r="K32" s="364">
        <f t="shared" si="3"/>
        <v>26.946660000000001</v>
      </c>
      <c r="L32" s="365"/>
      <c r="M32" s="366" t="s">
        <v>180</v>
      </c>
      <c r="N32" s="312">
        <v>2.6946660000000002</v>
      </c>
    </row>
    <row r="33" spans="2:14">
      <c r="B33" s="375" t="s">
        <v>185</v>
      </c>
      <c r="C33" s="376" t="s">
        <v>131</v>
      </c>
      <c r="D33" s="187"/>
      <c r="E33" s="188"/>
      <c r="F33" s="188"/>
      <c r="G33" s="371" t="str">
        <f t="shared" si="1"/>
        <v/>
      </c>
      <c r="H33" s="362" t="str">
        <f t="shared" si="2"/>
        <v/>
      </c>
      <c r="I33" s="363" t="str">
        <f t="shared" si="2"/>
        <v/>
      </c>
      <c r="J33" s="363" t="str">
        <f t="shared" si="2"/>
        <v/>
      </c>
      <c r="K33" s="364" t="str">
        <f t="shared" si="3"/>
        <v/>
      </c>
      <c r="L33" s="365"/>
      <c r="M33" s="366" t="s">
        <v>180</v>
      </c>
      <c r="N33" s="312">
        <v>1.5772399999999998</v>
      </c>
    </row>
    <row r="34" spans="2:14">
      <c r="B34" s="375" t="s">
        <v>186</v>
      </c>
      <c r="C34" s="376" t="s">
        <v>131</v>
      </c>
      <c r="D34" s="187"/>
      <c r="E34" s="188"/>
      <c r="F34" s="188">
        <v>12</v>
      </c>
      <c r="G34" s="371">
        <f t="shared" si="1"/>
        <v>12</v>
      </c>
      <c r="H34" s="362" t="str">
        <f t="shared" si="2"/>
        <v/>
      </c>
      <c r="I34" s="363" t="str">
        <f t="shared" si="2"/>
        <v/>
      </c>
      <c r="J34" s="363">
        <f t="shared" si="2"/>
        <v>0.11232</v>
      </c>
      <c r="K34" s="364">
        <f t="shared" si="3"/>
        <v>0.11232</v>
      </c>
      <c r="L34" s="365"/>
      <c r="M34" s="366" t="s">
        <v>180</v>
      </c>
      <c r="N34" s="312">
        <v>9.3600000000000003E-3</v>
      </c>
    </row>
    <row r="35" spans="2:14">
      <c r="B35" s="367" t="s">
        <v>151</v>
      </c>
      <c r="C35" s="368" t="s">
        <v>271</v>
      </c>
      <c r="D35" s="369"/>
      <c r="E35" s="370"/>
      <c r="F35" s="370"/>
      <c r="G35" s="371"/>
      <c r="H35" s="372">
        <f>SUM(H27:H34)</f>
        <v>29.203320000000001</v>
      </c>
      <c r="I35" s="373">
        <f>SUM(I27:I34)</f>
        <v>43.80498</v>
      </c>
      <c r="J35" s="373">
        <f>SUM(J27:J34)</f>
        <v>70.863960000000006</v>
      </c>
      <c r="K35" s="374">
        <f>SUM(K27:K34)</f>
        <v>143.87226000000001</v>
      </c>
      <c r="L35" s="385"/>
      <c r="M35" s="386"/>
    </row>
    <row r="36" spans="2:14" ht="9.75" customHeight="1">
      <c r="B36" s="375"/>
      <c r="C36" s="376"/>
      <c r="D36" s="369"/>
      <c r="E36" s="370"/>
      <c r="F36" s="370"/>
      <c r="G36" s="371"/>
      <c r="H36" s="362"/>
      <c r="I36" s="363"/>
      <c r="J36" s="363"/>
      <c r="K36" s="364"/>
      <c r="L36" s="322"/>
      <c r="M36" s="377"/>
    </row>
    <row r="37" spans="2:14">
      <c r="B37" s="378" t="s">
        <v>259</v>
      </c>
      <c r="C37" s="379"/>
      <c r="D37" s="380"/>
      <c r="E37" s="381"/>
      <c r="F37" s="381"/>
      <c r="G37" s="381"/>
      <c r="H37" s="382"/>
      <c r="I37" s="383"/>
      <c r="J37" s="383"/>
      <c r="K37" s="384"/>
      <c r="L37" s="357"/>
      <c r="M37" s="358"/>
    </row>
    <row r="38" spans="2:14">
      <c r="B38" s="387" t="s">
        <v>163</v>
      </c>
      <c r="C38" s="376" t="s">
        <v>131</v>
      </c>
      <c r="D38" s="187"/>
      <c r="E38" s="188"/>
      <c r="F38" s="188"/>
      <c r="G38" s="371" t="str">
        <f t="shared" ref="G38:G46" si="4">IF(CONCATENATE(D38,E38,F38)="","",SUM(D38:F38))</f>
        <v/>
      </c>
      <c r="H38" s="362" t="str">
        <f t="shared" ref="H38:H46" si="5">IF(D38="","",IF($C38="L",D38*$N38/1000,D38*$N38))</f>
        <v/>
      </c>
      <c r="I38" s="363" t="str">
        <f t="shared" ref="I38:I46" si="6">IF(E38="","",IF($C38="L",E38*$N38/1000,E38*$N38))</f>
        <v/>
      </c>
      <c r="J38" s="363" t="str">
        <f t="shared" ref="J38:J46" si="7">IF(F38="","",IF($C38="L",F38*$N38/1000,F38*$N38))</f>
        <v/>
      </c>
      <c r="K38" s="364" t="str">
        <f t="shared" ref="K38:K46" si="8">IF(CONCATENATE(H38,I38,J38)="","",SUM(H38:J38))</f>
        <v/>
      </c>
      <c r="L38" s="365"/>
      <c r="M38" s="366" t="s">
        <v>178</v>
      </c>
      <c r="N38" s="312">
        <v>1.0825199999999997</v>
      </c>
    </row>
    <row r="39" spans="2:14">
      <c r="B39" s="387" t="s">
        <v>164</v>
      </c>
      <c r="C39" s="376" t="s">
        <v>131</v>
      </c>
      <c r="D39" s="187"/>
      <c r="E39" s="188"/>
      <c r="F39" s="188"/>
      <c r="G39" s="371" t="str">
        <f t="shared" si="4"/>
        <v/>
      </c>
      <c r="H39" s="362" t="str">
        <f t="shared" si="5"/>
        <v/>
      </c>
      <c r="I39" s="363" t="str">
        <f t="shared" si="6"/>
        <v/>
      </c>
      <c r="J39" s="363" t="str">
        <f t="shared" si="7"/>
        <v/>
      </c>
      <c r="K39" s="364" t="str">
        <f t="shared" si="8"/>
        <v/>
      </c>
      <c r="L39" s="365"/>
      <c r="M39" s="366" t="s">
        <v>178</v>
      </c>
      <c r="N39" s="312">
        <v>2.2948200000000005</v>
      </c>
    </row>
    <row r="40" spans="2:14">
      <c r="B40" s="387" t="s">
        <v>165</v>
      </c>
      <c r="C40" s="376" t="s">
        <v>131</v>
      </c>
      <c r="D40" s="187"/>
      <c r="E40" s="188"/>
      <c r="F40" s="188"/>
      <c r="G40" s="371" t="str">
        <f t="shared" si="4"/>
        <v/>
      </c>
      <c r="H40" s="362" t="str">
        <f t="shared" si="5"/>
        <v/>
      </c>
      <c r="I40" s="363" t="str">
        <f t="shared" si="6"/>
        <v/>
      </c>
      <c r="J40" s="363" t="str">
        <f t="shared" si="7"/>
        <v/>
      </c>
      <c r="K40" s="364" t="str">
        <f t="shared" si="8"/>
        <v/>
      </c>
      <c r="L40" s="365"/>
      <c r="M40" s="366" t="s">
        <v>178</v>
      </c>
      <c r="N40" s="312">
        <v>2.5653750000000004</v>
      </c>
    </row>
    <row r="41" spans="2:14">
      <c r="B41" s="387" t="s">
        <v>144</v>
      </c>
      <c r="C41" s="376" t="s">
        <v>131</v>
      </c>
      <c r="D41" s="187"/>
      <c r="E41" s="188"/>
      <c r="F41" s="188">
        <v>5</v>
      </c>
      <c r="G41" s="371">
        <f t="shared" si="4"/>
        <v>5</v>
      </c>
      <c r="H41" s="362" t="str">
        <f t="shared" si="5"/>
        <v/>
      </c>
      <c r="I41" s="363" t="str">
        <f t="shared" si="6"/>
        <v/>
      </c>
      <c r="J41" s="363">
        <f t="shared" si="7"/>
        <v>12.872229999999998</v>
      </c>
      <c r="K41" s="364">
        <f t="shared" si="8"/>
        <v>12.872229999999998</v>
      </c>
      <c r="L41" s="365"/>
      <c r="M41" s="366" t="s">
        <v>178</v>
      </c>
      <c r="N41" s="312">
        <v>2.5744459999999996</v>
      </c>
    </row>
    <row r="42" spans="2:14">
      <c r="B42" s="387" t="s">
        <v>145</v>
      </c>
      <c r="C42" s="376" t="s">
        <v>131</v>
      </c>
      <c r="D42" s="187"/>
      <c r="E42" s="188"/>
      <c r="F42" s="188">
        <v>1.5</v>
      </c>
      <c r="G42" s="371">
        <f t="shared" si="4"/>
        <v>1.5</v>
      </c>
      <c r="H42" s="362" t="str">
        <f t="shared" si="5"/>
        <v/>
      </c>
      <c r="I42" s="363" t="str">
        <f t="shared" si="6"/>
        <v/>
      </c>
      <c r="J42" s="363">
        <f t="shared" si="7"/>
        <v>4.0240499999999999</v>
      </c>
      <c r="K42" s="364">
        <f t="shared" si="8"/>
        <v>4.0240499999999999</v>
      </c>
      <c r="L42" s="365"/>
      <c r="M42" s="366" t="s">
        <v>178</v>
      </c>
      <c r="N42" s="312">
        <v>2.6827000000000001</v>
      </c>
    </row>
    <row r="43" spans="2:14">
      <c r="B43" s="387" t="s">
        <v>133</v>
      </c>
      <c r="C43" s="376" t="s">
        <v>131</v>
      </c>
      <c r="D43" s="187"/>
      <c r="E43" s="188"/>
      <c r="F43" s="188"/>
      <c r="G43" s="371" t="str">
        <f t="shared" si="4"/>
        <v/>
      </c>
      <c r="H43" s="362" t="str">
        <f t="shared" si="5"/>
        <v/>
      </c>
      <c r="I43" s="363" t="str">
        <f t="shared" si="6"/>
        <v/>
      </c>
      <c r="J43" s="363" t="str">
        <f t="shared" si="7"/>
        <v/>
      </c>
      <c r="K43" s="364" t="str">
        <f t="shared" si="8"/>
        <v/>
      </c>
      <c r="L43" s="365"/>
      <c r="M43" s="366" t="s">
        <v>178</v>
      </c>
      <c r="N43" s="312">
        <v>2.9032610000000005</v>
      </c>
    </row>
    <row r="44" spans="2:14">
      <c r="B44" s="387" t="s">
        <v>146</v>
      </c>
      <c r="C44" s="376" t="s">
        <v>131</v>
      </c>
      <c r="D44" s="187"/>
      <c r="E44" s="188"/>
      <c r="F44" s="188"/>
      <c r="G44" s="371" t="str">
        <f t="shared" si="4"/>
        <v/>
      </c>
      <c r="H44" s="362" t="str">
        <f t="shared" si="5"/>
        <v/>
      </c>
      <c r="I44" s="363" t="str">
        <f t="shared" si="6"/>
        <v/>
      </c>
      <c r="J44" s="363" t="str">
        <f t="shared" si="7"/>
        <v/>
      </c>
      <c r="K44" s="364" t="str">
        <f t="shared" si="8"/>
        <v/>
      </c>
      <c r="L44" s="365"/>
      <c r="M44" s="366" t="s">
        <v>178</v>
      </c>
      <c r="N44" s="312">
        <v>1.5394300000000001</v>
      </c>
    </row>
    <row r="45" spans="2:14">
      <c r="B45" s="387" t="s">
        <v>132</v>
      </c>
      <c r="C45" s="376" t="s">
        <v>131</v>
      </c>
      <c r="D45" s="187"/>
      <c r="E45" s="188"/>
      <c r="F45" s="188"/>
      <c r="G45" s="371" t="str">
        <f t="shared" si="4"/>
        <v/>
      </c>
      <c r="H45" s="362" t="str">
        <f t="shared" si="5"/>
        <v/>
      </c>
      <c r="I45" s="363" t="str">
        <f t="shared" si="6"/>
        <v/>
      </c>
      <c r="J45" s="363" t="str">
        <f t="shared" si="7"/>
        <v/>
      </c>
      <c r="K45" s="364" t="str">
        <f t="shared" si="8"/>
        <v/>
      </c>
      <c r="L45" s="365"/>
      <c r="M45" s="366" t="s">
        <v>178</v>
      </c>
      <c r="N45" s="312">
        <v>8.9960000000000005E-3</v>
      </c>
    </row>
    <row r="46" spans="2:14">
      <c r="B46" s="387" t="s">
        <v>179</v>
      </c>
      <c r="C46" s="376" t="s">
        <v>131</v>
      </c>
      <c r="D46" s="187"/>
      <c r="E46" s="188"/>
      <c r="F46" s="188"/>
      <c r="G46" s="371" t="str">
        <f t="shared" si="4"/>
        <v/>
      </c>
      <c r="H46" s="362" t="str">
        <f t="shared" si="5"/>
        <v/>
      </c>
      <c r="I46" s="363" t="str">
        <f t="shared" si="6"/>
        <v/>
      </c>
      <c r="J46" s="363" t="str">
        <f t="shared" si="7"/>
        <v/>
      </c>
      <c r="K46" s="364" t="str">
        <f t="shared" si="8"/>
        <v/>
      </c>
      <c r="L46" s="365"/>
      <c r="M46" s="366" t="s">
        <v>178</v>
      </c>
      <c r="N46" s="312">
        <v>6.084E-3</v>
      </c>
    </row>
    <row r="47" spans="2:14">
      <c r="B47" s="367" t="s">
        <v>151</v>
      </c>
      <c r="C47" s="368" t="s">
        <v>271</v>
      </c>
      <c r="D47" s="369"/>
      <c r="E47" s="370"/>
      <c r="F47" s="370"/>
      <c r="G47" s="371"/>
      <c r="H47" s="372">
        <f>SUM(H38:H46)</f>
        <v>0</v>
      </c>
      <c r="I47" s="373">
        <f>SUM(I38:I46)</f>
        <v>0</v>
      </c>
      <c r="J47" s="373">
        <f>SUM(J38:J46)</f>
        <v>16.896279999999997</v>
      </c>
      <c r="K47" s="374">
        <f>SUM(K38:K46)</f>
        <v>16.896279999999997</v>
      </c>
      <c r="L47" s="385"/>
      <c r="M47" s="386"/>
    </row>
    <row r="48" spans="2:14" ht="9.75" customHeight="1">
      <c r="B48" s="387"/>
      <c r="C48" s="376"/>
      <c r="D48" s="369"/>
      <c r="E48" s="370"/>
      <c r="F48" s="370"/>
      <c r="G48" s="371"/>
      <c r="H48" s="362"/>
      <c r="I48" s="363"/>
      <c r="J48" s="363"/>
      <c r="K48" s="364"/>
      <c r="L48" s="322"/>
      <c r="M48" s="377"/>
    </row>
    <row r="49" spans="2:14">
      <c r="B49" s="378" t="s">
        <v>260</v>
      </c>
      <c r="C49" s="379"/>
      <c r="D49" s="380"/>
      <c r="E49" s="381"/>
      <c r="F49" s="381"/>
      <c r="G49" s="381"/>
      <c r="H49" s="382"/>
      <c r="I49" s="383"/>
      <c r="J49" s="383"/>
      <c r="K49" s="384"/>
      <c r="L49" s="357"/>
      <c r="M49" s="358"/>
    </row>
    <row r="50" spans="2:14">
      <c r="B50" s="387" t="s">
        <v>154</v>
      </c>
      <c r="C50" s="376" t="s">
        <v>147</v>
      </c>
      <c r="D50" s="187"/>
      <c r="E50" s="188"/>
      <c r="F50" s="188"/>
      <c r="G50" s="371" t="str">
        <f t="shared" ref="G50:G60" si="9">IF(CONCATENATE(D50,E50,F50)="","",SUM(D50:F50))</f>
        <v/>
      </c>
      <c r="H50" s="362" t="str">
        <f t="shared" ref="H50:H60" si="10">IF(D50="","",IF($C50="kg",D50*$N50/1000,D50*$N50))</f>
        <v/>
      </c>
      <c r="I50" s="363" t="str">
        <f t="shared" ref="I50:I60" si="11">IF(E50="","",IF($C50="kg",E50*$N50/1000,E50*$N50))</f>
        <v/>
      </c>
      <c r="J50" s="363" t="str">
        <f t="shared" ref="J50:J60" si="12">IF(F50="","",IF($C50="kg",F50*$N50/1000,F50*$N50))</f>
        <v/>
      </c>
      <c r="K50" s="364" t="str">
        <f t="shared" ref="K50:K60" si="13">IF(CONCATENATE(H50,I50,J50)="","",SUM(H50:J50))</f>
        <v/>
      </c>
      <c r="L50" s="365"/>
      <c r="M50" s="366" t="s">
        <v>174</v>
      </c>
      <c r="N50" s="312">
        <v>2.38761</v>
      </c>
    </row>
    <row r="51" spans="2:14">
      <c r="B51" s="387" t="s">
        <v>137</v>
      </c>
      <c r="C51" s="376" t="s">
        <v>147</v>
      </c>
      <c r="D51" s="187"/>
      <c r="E51" s="188"/>
      <c r="F51" s="188"/>
      <c r="G51" s="371" t="str">
        <f t="shared" si="9"/>
        <v/>
      </c>
      <c r="H51" s="362" t="str">
        <f t="shared" si="10"/>
        <v/>
      </c>
      <c r="I51" s="363" t="str">
        <f t="shared" si="11"/>
        <v/>
      </c>
      <c r="J51" s="363" t="str">
        <f t="shared" si="12"/>
        <v/>
      </c>
      <c r="K51" s="364" t="str">
        <f t="shared" si="13"/>
        <v/>
      </c>
      <c r="L51" s="365"/>
      <c r="M51" s="366" t="s">
        <v>174</v>
      </c>
      <c r="N51" s="312">
        <v>0.94972200000000007</v>
      </c>
    </row>
    <row r="52" spans="2:14">
      <c r="B52" s="387" t="s">
        <v>138</v>
      </c>
      <c r="C52" s="376" t="s">
        <v>147</v>
      </c>
      <c r="D52" s="187"/>
      <c r="E52" s="188"/>
      <c r="F52" s="188"/>
      <c r="G52" s="371" t="str">
        <f t="shared" si="9"/>
        <v/>
      </c>
      <c r="H52" s="362" t="str">
        <f t="shared" si="10"/>
        <v/>
      </c>
      <c r="I52" s="363" t="str">
        <f t="shared" si="11"/>
        <v/>
      </c>
      <c r="J52" s="363" t="str">
        <f t="shared" si="12"/>
        <v/>
      </c>
      <c r="K52" s="364" t="str">
        <f t="shared" si="13"/>
        <v/>
      </c>
      <c r="L52" s="365"/>
      <c r="M52" s="366" t="s">
        <v>174</v>
      </c>
      <c r="N52" s="312">
        <v>2.7065999999999999</v>
      </c>
    </row>
    <row r="53" spans="2:14">
      <c r="B53" s="387" t="s">
        <v>139</v>
      </c>
      <c r="C53" s="376" t="s">
        <v>147</v>
      </c>
      <c r="D53" s="187"/>
      <c r="E53" s="188"/>
      <c r="F53" s="188"/>
      <c r="G53" s="371" t="str">
        <f t="shared" si="9"/>
        <v/>
      </c>
      <c r="H53" s="362" t="str">
        <f t="shared" si="10"/>
        <v/>
      </c>
      <c r="I53" s="363" t="str">
        <f t="shared" si="11"/>
        <v/>
      </c>
      <c r="J53" s="363" t="str">
        <f t="shared" si="12"/>
        <v/>
      </c>
      <c r="K53" s="364" t="str">
        <f t="shared" si="13"/>
        <v/>
      </c>
      <c r="L53" s="365"/>
      <c r="M53" s="366" t="s">
        <v>174</v>
      </c>
      <c r="N53" s="312">
        <v>2.0698859999999999</v>
      </c>
    </row>
    <row r="54" spans="2:14" ht="12.75" customHeight="1">
      <c r="B54" s="387" t="s">
        <v>155</v>
      </c>
      <c r="C54" s="376" t="s">
        <v>147</v>
      </c>
      <c r="D54" s="187"/>
      <c r="E54" s="188"/>
      <c r="F54" s="188"/>
      <c r="G54" s="371" t="str">
        <f t="shared" si="9"/>
        <v/>
      </c>
      <c r="H54" s="362" t="str">
        <f t="shared" si="10"/>
        <v/>
      </c>
      <c r="I54" s="363" t="str">
        <f t="shared" si="11"/>
        <v/>
      </c>
      <c r="J54" s="363" t="str">
        <f t="shared" si="12"/>
        <v/>
      </c>
      <c r="K54" s="364" t="str">
        <f t="shared" si="13"/>
        <v/>
      </c>
      <c r="L54" s="365"/>
      <c r="M54" s="366" t="s">
        <v>174</v>
      </c>
      <c r="N54" s="312">
        <v>2.1071559999999998</v>
      </c>
    </row>
    <row r="55" spans="2:14">
      <c r="B55" s="387" t="s">
        <v>156</v>
      </c>
      <c r="C55" s="376" t="s">
        <v>147</v>
      </c>
      <c r="D55" s="187"/>
      <c r="E55" s="188"/>
      <c r="F55" s="188"/>
      <c r="G55" s="371" t="str">
        <f t="shared" si="9"/>
        <v/>
      </c>
      <c r="H55" s="362" t="str">
        <f t="shared" si="10"/>
        <v/>
      </c>
      <c r="I55" s="363" t="str">
        <f t="shared" si="11"/>
        <v/>
      </c>
      <c r="J55" s="363" t="str">
        <f t="shared" si="12"/>
        <v/>
      </c>
      <c r="K55" s="364" t="str">
        <f t="shared" si="13"/>
        <v/>
      </c>
      <c r="L55" s="365"/>
      <c r="M55" s="366" t="s">
        <v>174</v>
      </c>
      <c r="N55" s="312">
        <v>0.91559999999999997</v>
      </c>
    </row>
    <row r="56" spans="2:14">
      <c r="B56" s="387" t="s">
        <v>157</v>
      </c>
      <c r="C56" s="376" t="s">
        <v>147</v>
      </c>
      <c r="D56" s="187"/>
      <c r="E56" s="188"/>
      <c r="F56" s="188"/>
      <c r="G56" s="371" t="str">
        <f t="shared" si="9"/>
        <v/>
      </c>
      <c r="H56" s="362" t="str">
        <f t="shared" si="10"/>
        <v/>
      </c>
      <c r="I56" s="363" t="str">
        <f t="shared" si="11"/>
        <v/>
      </c>
      <c r="J56" s="363" t="str">
        <f t="shared" si="12"/>
        <v/>
      </c>
      <c r="K56" s="364" t="str">
        <f t="shared" si="13"/>
        <v/>
      </c>
      <c r="L56" s="365"/>
      <c r="M56" s="366" t="s">
        <v>174</v>
      </c>
      <c r="N56" s="312">
        <v>2.1959999999999997E-2</v>
      </c>
    </row>
    <row r="57" spans="2:14">
      <c r="B57" s="387" t="s">
        <v>158</v>
      </c>
      <c r="C57" s="376" t="s">
        <v>147</v>
      </c>
      <c r="D57" s="187"/>
      <c r="E57" s="188"/>
      <c r="F57" s="188">
        <v>55</v>
      </c>
      <c r="G57" s="371">
        <f t="shared" si="9"/>
        <v>55</v>
      </c>
      <c r="H57" s="362" t="str">
        <f t="shared" si="10"/>
        <v/>
      </c>
      <c r="I57" s="363" t="str">
        <f t="shared" si="11"/>
        <v/>
      </c>
      <c r="J57" s="363">
        <f t="shared" si="12"/>
        <v>1.1404800000000002</v>
      </c>
      <c r="K57" s="364">
        <f t="shared" si="13"/>
        <v>1.1404800000000002</v>
      </c>
      <c r="L57" s="365"/>
      <c r="M57" s="366" t="s">
        <v>174</v>
      </c>
      <c r="N57" s="312">
        <v>2.0736000000000001E-2</v>
      </c>
    </row>
    <row r="58" spans="2:14">
      <c r="B58" s="387" t="s">
        <v>159</v>
      </c>
      <c r="C58" s="376" t="s">
        <v>147</v>
      </c>
      <c r="D58" s="187"/>
      <c r="E58" s="188"/>
      <c r="F58" s="188"/>
      <c r="G58" s="371" t="str">
        <f t="shared" si="9"/>
        <v/>
      </c>
      <c r="H58" s="362" t="str">
        <f t="shared" si="10"/>
        <v/>
      </c>
      <c r="I58" s="363" t="str">
        <f t="shared" si="11"/>
        <v/>
      </c>
      <c r="J58" s="363" t="str">
        <f t="shared" si="12"/>
        <v/>
      </c>
      <c r="K58" s="364" t="str">
        <f t="shared" si="13"/>
        <v/>
      </c>
      <c r="L58" s="365"/>
      <c r="M58" s="366" t="s">
        <v>174</v>
      </c>
      <c r="N58" s="312">
        <v>1.3312000000000001E-2</v>
      </c>
    </row>
    <row r="59" spans="2:14">
      <c r="B59" s="387" t="s">
        <v>140</v>
      </c>
      <c r="C59" s="376" t="s">
        <v>147</v>
      </c>
      <c r="D59" s="187"/>
      <c r="E59" s="188"/>
      <c r="F59" s="188"/>
      <c r="G59" s="371" t="str">
        <f t="shared" si="9"/>
        <v/>
      </c>
      <c r="H59" s="362" t="str">
        <f t="shared" si="10"/>
        <v/>
      </c>
      <c r="I59" s="363" t="str">
        <f t="shared" si="11"/>
        <v/>
      </c>
      <c r="J59" s="363" t="str">
        <f t="shared" si="12"/>
        <v/>
      </c>
      <c r="K59" s="364" t="str">
        <f t="shared" si="13"/>
        <v/>
      </c>
      <c r="L59" s="365"/>
      <c r="M59" s="366" t="s">
        <v>174</v>
      </c>
      <c r="N59" s="312">
        <v>1.4399999999999998E-2</v>
      </c>
    </row>
    <row r="60" spans="2:14">
      <c r="B60" s="387" t="s">
        <v>141</v>
      </c>
      <c r="C60" s="376" t="s">
        <v>147</v>
      </c>
      <c r="D60" s="187"/>
      <c r="E60" s="188"/>
      <c r="F60" s="188"/>
      <c r="G60" s="371" t="str">
        <f t="shared" si="9"/>
        <v/>
      </c>
      <c r="H60" s="362" t="str">
        <f t="shared" si="10"/>
        <v/>
      </c>
      <c r="I60" s="363" t="str">
        <f t="shared" si="11"/>
        <v/>
      </c>
      <c r="J60" s="363" t="str">
        <f t="shared" si="12"/>
        <v/>
      </c>
      <c r="K60" s="364" t="str">
        <f t="shared" si="13"/>
        <v/>
      </c>
      <c r="L60" s="365"/>
      <c r="M60" s="366" t="s">
        <v>174</v>
      </c>
      <c r="N60" s="312">
        <v>0.16172</v>
      </c>
    </row>
    <row r="61" spans="2:14">
      <c r="B61" s="367" t="s">
        <v>151</v>
      </c>
      <c r="C61" s="368" t="s">
        <v>271</v>
      </c>
      <c r="D61" s="369"/>
      <c r="E61" s="370"/>
      <c r="F61" s="370"/>
      <c r="G61" s="371"/>
      <c r="H61" s="372">
        <f>SUM(H50:H60)</f>
        <v>0</v>
      </c>
      <c r="I61" s="373">
        <f>SUM(I50:I60)</f>
        <v>0</v>
      </c>
      <c r="J61" s="373">
        <f>SUM(J50:J60)</f>
        <v>1.1404800000000002</v>
      </c>
      <c r="K61" s="374">
        <f>SUM(K50:K60)</f>
        <v>1.1404800000000002</v>
      </c>
      <c r="L61" s="385"/>
      <c r="M61" s="386"/>
    </row>
    <row r="62" spans="2:14" ht="9.75" customHeight="1">
      <c r="B62" s="387"/>
      <c r="C62" s="376"/>
      <c r="D62" s="369"/>
      <c r="E62" s="370"/>
      <c r="F62" s="370"/>
      <c r="G62" s="371"/>
      <c r="H62" s="362"/>
      <c r="I62" s="363"/>
      <c r="J62" s="363"/>
      <c r="K62" s="364"/>
      <c r="L62" s="322"/>
      <c r="M62" s="377"/>
    </row>
    <row r="63" spans="2:14">
      <c r="B63" s="378" t="s">
        <v>261</v>
      </c>
      <c r="C63" s="379"/>
      <c r="D63" s="380"/>
      <c r="E63" s="381"/>
      <c r="F63" s="381"/>
      <c r="G63" s="381"/>
      <c r="H63" s="382"/>
      <c r="I63" s="383"/>
      <c r="J63" s="383"/>
      <c r="K63" s="384"/>
      <c r="L63" s="357"/>
      <c r="M63" s="358"/>
    </row>
    <row r="64" spans="2:14" ht="15.75">
      <c r="B64" s="387" t="s">
        <v>160</v>
      </c>
      <c r="C64" s="376" t="s">
        <v>149</v>
      </c>
      <c r="D64" s="187"/>
      <c r="E64" s="188"/>
      <c r="F64" s="188"/>
      <c r="G64" s="371" t="str">
        <f>IF(CONCATENATE(D64,E64,F64)="","",SUM(D64:F64))</f>
        <v/>
      </c>
      <c r="H64" s="362" t="str">
        <f t="shared" ref="H64:J66" si="14">IF(D64="","",D64*$N64)</f>
        <v/>
      </c>
      <c r="I64" s="363" t="str">
        <f t="shared" si="14"/>
        <v/>
      </c>
      <c r="J64" s="363" t="str">
        <f t="shared" si="14"/>
        <v/>
      </c>
      <c r="K64" s="364" t="str">
        <f>IF(CONCATENATE(H64,I64,J64)="","",SUM(H64:J64))</f>
        <v/>
      </c>
      <c r="L64" s="365"/>
      <c r="M64" s="366" t="s">
        <v>175</v>
      </c>
      <c r="N64" s="312">
        <v>1.935141E-3</v>
      </c>
    </row>
    <row r="65" spans="2:14" ht="15.75">
      <c r="B65" s="387" t="s">
        <v>161</v>
      </c>
      <c r="C65" s="376" t="s">
        <v>149</v>
      </c>
      <c r="D65" s="187"/>
      <c r="E65" s="188"/>
      <c r="F65" s="188"/>
      <c r="G65" s="371" t="str">
        <f>IF(CONCATENATE(D65,E65,F65)="","",SUM(D65:F65))</f>
        <v/>
      </c>
      <c r="H65" s="362" t="str">
        <f t="shared" si="14"/>
        <v/>
      </c>
      <c r="I65" s="363" t="str">
        <f t="shared" si="14"/>
        <v/>
      </c>
      <c r="J65" s="363" t="str">
        <f t="shared" si="14"/>
        <v/>
      </c>
      <c r="K65" s="364" t="str">
        <f>IF(CONCATENATE(H65,I65,J65)="","",SUM(H65:J65))</f>
        <v/>
      </c>
      <c r="L65" s="365"/>
      <c r="M65" s="366" t="s">
        <v>175</v>
      </c>
      <c r="N65" s="312">
        <v>2.1349509999999999E-3</v>
      </c>
    </row>
    <row r="66" spans="2:14" ht="15.75">
      <c r="B66" s="387" t="s">
        <v>142</v>
      </c>
      <c r="C66" s="376" t="s">
        <v>149</v>
      </c>
      <c r="D66" s="187">
        <v>125</v>
      </c>
      <c r="E66" s="188">
        <v>335</v>
      </c>
      <c r="F66" s="188">
        <v>540</v>
      </c>
      <c r="G66" s="371">
        <f>IF(CONCATENATE(D66,E66,F66)="","",SUM(D66:F66))</f>
        <v>1000</v>
      </c>
      <c r="H66" s="362">
        <f t="shared" si="14"/>
        <v>0.29230499999999998</v>
      </c>
      <c r="I66" s="363">
        <f t="shared" si="14"/>
        <v>0.78337739999999989</v>
      </c>
      <c r="J66" s="363">
        <f t="shared" si="14"/>
        <v>1.2627575999999998</v>
      </c>
      <c r="K66" s="364">
        <f>IF(CONCATENATE(H66,I66,J66)="","",SUM(H66:J66))</f>
        <v>2.3384399999999994</v>
      </c>
      <c r="L66" s="365"/>
      <c r="M66" s="366" t="s">
        <v>175</v>
      </c>
      <c r="N66" s="312">
        <v>2.3384399999999998E-3</v>
      </c>
    </row>
    <row r="67" spans="2:14">
      <c r="B67" s="387" t="s">
        <v>143</v>
      </c>
      <c r="C67" s="376" t="s">
        <v>131</v>
      </c>
      <c r="D67" s="187"/>
      <c r="E67" s="188"/>
      <c r="F67" s="188"/>
      <c r="G67" s="371" t="str">
        <f>IF(CONCATENATE(D67,E67,F67)="","",SUM(D67:F67))</f>
        <v/>
      </c>
      <c r="H67" s="362" t="str">
        <f>IF(D67="","",IF($C67="L",D67*$N67/1000,D67*$N67))</f>
        <v/>
      </c>
      <c r="I67" s="363" t="str">
        <f>IF(E67="","",IF($C67="L",E67*$N67/1000,E67*$N67))</f>
        <v/>
      </c>
      <c r="J67" s="363" t="str">
        <f>IF(F67="","",IF($C67="L",F67*$N67/1000,F67*$N67))</f>
        <v/>
      </c>
      <c r="K67" s="364" t="str">
        <f>IF(CONCATENATE(H67,I67,J67)="","",SUM(H67:J67))</f>
        <v/>
      </c>
      <c r="L67" s="365"/>
      <c r="M67" s="366" t="s">
        <v>175</v>
      </c>
      <c r="N67" s="312">
        <v>1.2986490000000002</v>
      </c>
    </row>
    <row r="68" spans="2:14" ht="15.75">
      <c r="B68" s="387" t="s">
        <v>162</v>
      </c>
      <c r="C68" s="376" t="s">
        <v>149</v>
      </c>
      <c r="D68" s="187"/>
      <c r="E68" s="188"/>
      <c r="F68" s="188"/>
      <c r="G68" s="371" t="str">
        <f>IF(CONCATENATE(D68,E68,F68)="","",SUM(D68:F68))</f>
        <v/>
      </c>
      <c r="H68" s="362" t="str">
        <f>IF(D68="","",D68*$N68)</f>
        <v/>
      </c>
      <c r="I68" s="363" t="str">
        <f>IF(E68="","",E68*$N68)</f>
        <v/>
      </c>
      <c r="J68" s="363" t="str">
        <f>IF(F68="","",F68*$N68)</f>
        <v/>
      </c>
      <c r="K68" s="364" t="str">
        <f>IF(CONCATENATE(H68,I68,J68)="","",SUM(H68:J68))</f>
        <v/>
      </c>
      <c r="L68" s="365"/>
      <c r="M68" s="366" t="s">
        <v>175</v>
      </c>
      <c r="N68" s="312">
        <v>1.82091E-4</v>
      </c>
    </row>
    <row r="69" spans="2:14">
      <c r="B69" s="367" t="s">
        <v>151</v>
      </c>
      <c r="C69" s="368" t="s">
        <v>271</v>
      </c>
      <c r="D69" s="369"/>
      <c r="E69" s="370"/>
      <c r="F69" s="370"/>
      <c r="G69" s="371"/>
      <c r="H69" s="372">
        <f>SUM(H64:H68)</f>
        <v>0.29230499999999998</v>
      </c>
      <c r="I69" s="373">
        <f>SUM(I64:I68)</f>
        <v>0.78337739999999989</v>
      </c>
      <c r="J69" s="373">
        <f>SUM(J64:J68)</f>
        <v>1.2627575999999998</v>
      </c>
      <c r="K69" s="374">
        <f>SUM(K64:K68)</f>
        <v>2.3384399999999994</v>
      </c>
      <c r="L69" s="385"/>
      <c r="M69" s="386"/>
    </row>
    <row r="70" spans="2:14" ht="9.75" customHeight="1">
      <c r="B70" s="387"/>
      <c r="C70" s="376"/>
      <c r="D70" s="369"/>
      <c r="E70" s="370"/>
      <c r="F70" s="370"/>
      <c r="G70" s="371"/>
      <c r="H70" s="362"/>
      <c r="I70" s="363"/>
      <c r="J70" s="363"/>
      <c r="K70" s="364"/>
      <c r="L70" s="322"/>
      <c r="M70" s="377"/>
    </row>
    <row r="71" spans="2:14">
      <c r="B71" s="378" t="s">
        <v>262</v>
      </c>
      <c r="C71" s="379"/>
      <c r="D71" s="380"/>
      <c r="E71" s="381"/>
      <c r="F71" s="381"/>
      <c r="G71" s="381"/>
      <c r="H71" s="382"/>
      <c r="I71" s="383"/>
      <c r="J71" s="383"/>
      <c r="K71" s="384"/>
      <c r="L71" s="357"/>
      <c r="M71" s="358"/>
    </row>
    <row r="72" spans="2:14">
      <c r="B72" s="388" t="s">
        <v>310</v>
      </c>
      <c r="C72" s="376" t="s">
        <v>147</v>
      </c>
      <c r="D72" s="369"/>
      <c r="E72" s="389"/>
      <c r="F72" s="370"/>
      <c r="G72" s="371" t="str">
        <f>IF(CONCATENATE(D72,E72,F72)="","",SUM(D72:F72))</f>
        <v/>
      </c>
      <c r="H72" s="362"/>
      <c r="I72" s="189">
        <v>216</v>
      </c>
      <c r="J72" s="363"/>
      <c r="K72" s="364">
        <f>IF(CONCATENATE(H72,I72,J72)="","",SUM(H72:J72))</f>
        <v>216</v>
      </c>
      <c r="L72" s="365"/>
      <c r="M72" s="366"/>
    </row>
    <row r="73" spans="2:14">
      <c r="B73" s="367" t="s">
        <v>151</v>
      </c>
      <c r="C73" s="368" t="s">
        <v>271</v>
      </c>
      <c r="D73" s="369"/>
      <c r="E73" s="389"/>
      <c r="F73" s="370"/>
      <c r="G73" s="371"/>
      <c r="H73" s="372"/>
      <c r="I73" s="373">
        <f>SUM(I72)</f>
        <v>216</v>
      </c>
      <c r="J73" s="373"/>
      <c r="K73" s="374">
        <f>SUM(K72)</f>
        <v>216</v>
      </c>
      <c r="L73" s="385"/>
      <c r="M73" s="386"/>
    </row>
    <row r="74" spans="2:14" ht="9" customHeight="1">
      <c r="B74" s="387"/>
      <c r="C74" s="376"/>
      <c r="D74" s="369"/>
      <c r="E74" s="389"/>
      <c r="F74" s="370"/>
      <c r="G74" s="371" t="str">
        <f>IF(CONCATENATE(D74,E74,F74)="","",SUM(D74:F74))</f>
        <v/>
      </c>
      <c r="H74" s="362" t="str">
        <f>IF(D74="","",D74*$N74)</f>
        <v/>
      </c>
      <c r="I74" s="363" t="str">
        <f>IF(E74="","",E74*$N74)</f>
        <v/>
      </c>
      <c r="J74" s="363" t="str">
        <f>IF(F74="","",F74*$N74)</f>
        <v/>
      </c>
      <c r="K74" s="364" t="str">
        <f>IF(CONCATENATE(H74,I74,J74)="","",SUM(H74:J74))</f>
        <v/>
      </c>
      <c r="L74" s="365"/>
      <c r="M74" s="366"/>
    </row>
    <row r="75" spans="2:14">
      <c r="B75" s="378" t="s">
        <v>152</v>
      </c>
      <c r="C75" s="379"/>
      <c r="D75" s="380"/>
      <c r="E75" s="381"/>
      <c r="F75" s="381"/>
      <c r="G75" s="381"/>
      <c r="H75" s="382"/>
      <c r="I75" s="383"/>
      <c r="J75" s="383"/>
      <c r="K75" s="384"/>
      <c r="L75" s="357"/>
      <c r="M75" s="358"/>
    </row>
    <row r="76" spans="2:14">
      <c r="B76" s="387" t="s">
        <v>153</v>
      </c>
      <c r="C76" s="376" t="s">
        <v>147</v>
      </c>
      <c r="D76" s="369"/>
      <c r="E76" s="370"/>
      <c r="F76" s="188">
        <v>-45</v>
      </c>
      <c r="G76" s="371">
        <f>IF(CONCATENATE(D76,E76,F76)="","",SUM(D76:F76))</f>
        <v>-45</v>
      </c>
      <c r="H76" s="362"/>
      <c r="I76" s="363"/>
      <c r="J76" s="363">
        <f>IF(F76="","",IF($C76="kg",F76*$N76/1000,F76*$N76))</f>
        <v>-165.15</v>
      </c>
      <c r="K76" s="364">
        <f>IF(CONCATENATE(H76,I76,J76)="","",SUM(H76:J76))</f>
        <v>-165.15</v>
      </c>
      <c r="L76" s="365"/>
      <c r="M76" s="366"/>
      <c r="N76" s="312">
        <v>3.67</v>
      </c>
    </row>
    <row r="77" spans="2:14">
      <c r="B77" s="367" t="s">
        <v>151</v>
      </c>
      <c r="C77" s="368" t="s">
        <v>271</v>
      </c>
      <c r="D77" s="369"/>
      <c r="E77" s="370"/>
      <c r="F77" s="370"/>
      <c r="G77" s="371"/>
      <c r="H77" s="372"/>
      <c r="I77" s="373"/>
      <c r="J77" s="373">
        <f>SUM(J76:J76)</f>
        <v>-165.15</v>
      </c>
      <c r="K77" s="374">
        <f>SUM(K76:K76)</f>
        <v>-165.15</v>
      </c>
      <c r="L77" s="385"/>
      <c r="M77" s="386"/>
    </row>
    <row r="78" spans="2:14">
      <c r="B78" s="387"/>
      <c r="C78" s="376"/>
      <c r="D78" s="369"/>
      <c r="E78" s="370"/>
      <c r="F78" s="370"/>
      <c r="G78" s="371"/>
      <c r="H78" s="362"/>
      <c r="I78" s="363"/>
      <c r="J78" s="363"/>
      <c r="K78" s="364"/>
      <c r="L78" s="322"/>
      <c r="M78" s="377"/>
    </row>
    <row r="79" spans="2:14" ht="14.25" thickBot="1">
      <c r="B79" s="390" t="s">
        <v>197</v>
      </c>
      <c r="C79" s="391" t="s">
        <v>271</v>
      </c>
      <c r="D79" s="392"/>
      <c r="E79" s="393"/>
      <c r="F79" s="393"/>
      <c r="G79" s="394"/>
      <c r="H79" s="395">
        <f>H24+H35+H47+H61+H69</f>
        <v>207.49562499999999</v>
      </c>
      <c r="I79" s="396">
        <f>I24+I35+I47+I61+I69+I73</f>
        <v>527.58835739999995</v>
      </c>
      <c r="J79" s="396">
        <f>J24+J35+J47+J61+J69+J77</f>
        <v>14.013477599999987</v>
      </c>
      <c r="K79" s="397">
        <f>K24+K35+K47+K61+K69+K73+K77</f>
        <v>749.09746000000007</v>
      </c>
      <c r="L79" s="385"/>
      <c r="M79" s="386"/>
    </row>
    <row r="80" spans="2:14" ht="8.25" customHeight="1">
      <c r="B80" s="398"/>
      <c r="C80" s="322"/>
      <c r="D80" s="365"/>
      <c r="E80" s="365"/>
      <c r="F80" s="365"/>
      <c r="G80" s="385"/>
      <c r="H80" s="385"/>
      <c r="I80" s="385"/>
      <c r="J80" s="385"/>
      <c r="K80" s="385"/>
      <c r="L80" s="385"/>
      <c r="M80" s="386"/>
    </row>
    <row r="81" spans="2:6">
      <c r="B81" s="313" t="s">
        <v>257</v>
      </c>
    </row>
    <row r="86" spans="2:6">
      <c r="F86" s="331"/>
    </row>
    <row r="87" spans="2:6">
      <c r="E87" s="399"/>
      <c r="F87" s="331"/>
    </row>
    <row r="88" spans="2:6">
      <c r="E88" s="399"/>
      <c r="F88" s="331"/>
    </row>
    <row r="89" spans="2:6">
      <c r="E89" s="399"/>
      <c r="F89" s="331"/>
    </row>
    <row r="90" spans="2:6">
      <c r="E90" s="399"/>
      <c r="F90" s="331"/>
    </row>
    <row r="91" spans="2:6">
      <c r="E91" s="399"/>
      <c r="F91" s="331"/>
    </row>
    <row r="92" spans="2:6">
      <c r="E92" s="399"/>
      <c r="F92" s="331"/>
    </row>
    <row r="93" spans="2:6">
      <c r="E93" s="399"/>
      <c r="F93" s="331"/>
    </row>
    <row r="94" spans="2:6">
      <c r="E94" s="399"/>
      <c r="F94" s="331"/>
    </row>
    <row r="95" spans="2:6">
      <c r="E95" s="399"/>
      <c r="F95" s="331"/>
    </row>
    <row r="96" spans="2:6">
      <c r="E96" s="399"/>
      <c r="F96" s="331"/>
    </row>
    <row r="97" spans="5:6">
      <c r="E97" s="399"/>
      <c r="F97" s="331"/>
    </row>
    <row r="98" spans="5:6">
      <c r="E98" s="399"/>
      <c r="F98" s="331"/>
    </row>
    <row r="99" spans="5:6">
      <c r="E99" s="399"/>
      <c r="F99" s="331"/>
    </row>
    <row r="100" spans="5:6">
      <c r="E100" s="399"/>
      <c r="F100" s="331"/>
    </row>
    <row r="101" spans="5:6">
      <c r="F101" s="331"/>
    </row>
    <row r="102" spans="5:6">
      <c r="F102" s="331"/>
    </row>
    <row r="103" spans="5:6">
      <c r="F103" s="331"/>
    </row>
    <row r="104" spans="5:6">
      <c r="F104" s="331"/>
    </row>
  </sheetData>
  <sheetProtection password="D286" sheet="1" objects="1" scenarios="1" selectLockedCells="1"/>
  <mergeCells count="5">
    <mergeCell ref="G1:K1"/>
    <mergeCell ref="H17:K17"/>
    <mergeCell ref="D17:G17"/>
    <mergeCell ref="B17:B19"/>
    <mergeCell ref="C17:C19"/>
  </mergeCells>
  <phoneticPr fontId="2" type="noConversion"/>
  <dataValidations disablePrompts="1" count="2">
    <dataValidation type="list" allowBlank="1" showInputMessage="1" showErrorMessage="1" sqref="C76 C50:C60">
      <formula1>"kg,t"</formula1>
    </dataValidation>
    <dataValidation type="list" allowBlank="1" showInputMessage="1" showErrorMessage="1" sqref="C67 C27:C34 C38:C46">
      <formula1>"L,kL"</formula1>
    </dataValidation>
  </dataValidations>
  <pageMargins left="0.17" right="0.28000000000000003" top="0.5" bottom="0.49" header="0.5" footer="0.5"/>
  <pageSetup paperSize="9" scale="65" orientation="portrait" r:id="rId1"/>
  <headerFooter alignWithMargins="0">
    <oddFooter>&amp;C&amp;12Example</oddFooter>
  </headerFooter>
  <legacyDrawing r:id="rId2"/>
</worksheet>
</file>

<file path=xl/worksheets/sheet8.xml><?xml version="1.0" encoding="utf-8"?>
<worksheet xmlns="http://schemas.openxmlformats.org/spreadsheetml/2006/main" xmlns:r="http://schemas.openxmlformats.org/officeDocument/2006/relationships">
  <sheetPr enableFormatConditionsCalculation="0">
    <tabColor indexed="21"/>
  </sheetPr>
  <dimension ref="A1:U121"/>
  <sheetViews>
    <sheetView view="pageBreakPreview" zoomScaleNormal="100" workbookViewId="0">
      <selection activeCell="L10" sqref="L10"/>
    </sheetView>
  </sheetViews>
  <sheetFormatPr defaultRowHeight="12.75"/>
  <cols>
    <col min="1" max="1" width="5" style="47" customWidth="1"/>
    <col min="2" max="2" width="11" style="47" customWidth="1"/>
    <col min="3" max="3" width="19.5703125" style="47" customWidth="1"/>
    <col min="4" max="4" width="6" style="3" customWidth="1"/>
    <col min="5" max="5" width="5.140625" style="3" customWidth="1"/>
    <col min="6" max="6" width="6.42578125" style="3" customWidth="1"/>
    <col min="7" max="7" width="6.7109375" style="3" customWidth="1"/>
    <col min="8" max="8" width="6.5703125" style="3" customWidth="1"/>
    <col min="9" max="9" width="9.140625" style="3"/>
    <col min="10" max="10" width="6" style="3" customWidth="1"/>
    <col min="11" max="12" width="9.140625" style="3"/>
    <col min="13" max="13" width="1" style="3" customWidth="1"/>
    <col min="14" max="14" width="9.140625" style="3"/>
    <col min="15" max="16" width="6" style="3" customWidth="1"/>
    <col min="17" max="17" width="7.85546875" style="3" customWidth="1"/>
    <col min="18" max="18" width="7.42578125" style="3" customWidth="1"/>
    <col min="19" max="19" width="7.140625" style="3" customWidth="1"/>
    <col min="20" max="16384" width="9.140625" style="3"/>
  </cols>
  <sheetData>
    <row r="1" spans="1:21" ht="18">
      <c r="A1" s="142" t="s">
        <v>113</v>
      </c>
      <c r="B1" s="143"/>
      <c r="C1" s="143"/>
      <c r="D1" s="59"/>
      <c r="E1" s="59"/>
      <c r="F1" s="59"/>
      <c r="G1" s="59"/>
      <c r="H1" s="59"/>
      <c r="I1" s="59"/>
      <c r="J1" s="59"/>
      <c r="K1" s="59"/>
      <c r="L1" s="59"/>
      <c r="M1" s="59"/>
      <c r="N1" s="59"/>
      <c r="O1" s="59"/>
      <c r="P1" s="59"/>
    </row>
    <row r="2" spans="1:21" ht="3.75" customHeight="1"/>
    <row r="3" spans="1:21" ht="20.25" customHeight="1">
      <c r="B3" s="269" t="s">
        <v>91</v>
      </c>
      <c r="C3" s="432" t="s">
        <v>467</v>
      </c>
      <c r="D3" s="433"/>
      <c r="E3" s="433"/>
      <c r="F3" s="433"/>
      <c r="G3" s="433"/>
      <c r="H3" s="433"/>
      <c r="I3" s="433"/>
      <c r="J3" s="433"/>
      <c r="K3" s="433"/>
      <c r="L3" s="433"/>
      <c r="M3" s="433"/>
      <c r="N3" s="434"/>
    </row>
    <row r="4" spans="1:21" ht="3.75" customHeight="1"/>
    <row r="5" spans="1:21" ht="12.75" customHeight="1">
      <c r="A5" s="3" t="s">
        <v>10</v>
      </c>
    </row>
    <row r="6" spans="1:21" ht="12.75" customHeight="1">
      <c r="A6" s="3" t="s">
        <v>11</v>
      </c>
    </row>
    <row r="7" spans="1:21" ht="12.75" customHeight="1">
      <c r="A7" s="3" t="s">
        <v>307</v>
      </c>
      <c r="B7" s="3"/>
      <c r="C7" s="3"/>
    </row>
    <row r="8" spans="1:21" ht="7.5" customHeight="1"/>
    <row r="9" spans="1:21" ht="12.75" customHeight="1">
      <c r="A9" s="46" t="s">
        <v>299</v>
      </c>
      <c r="B9" s="45"/>
      <c r="C9" s="45"/>
      <c r="D9" s="46"/>
      <c r="E9" s="46"/>
      <c r="F9" s="46"/>
      <c r="G9" s="46"/>
      <c r="H9" s="46"/>
      <c r="I9" s="46"/>
      <c r="J9" s="46"/>
      <c r="K9" s="46"/>
      <c r="L9" s="137" t="s">
        <v>278</v>
      </c>
      <c r="M9" s="159"/>
      <c r="N9" s="137" t="s">
        <v>279</v>
      </c>
      <c r="O9" s="46"/>
      <c r="P9" s="46"/>
      <c r="Q9"/>
      <c r="R9"/>
      <c r="S9" s="44"/>
    </row>
    <row r="10" spans="1:21" ht="12.75" customHeight="1">
      <c r="A10" s="137">
        <v>1</v>
      </c>
      <c r="B10" s="46" t="s">
        <v>277</v>
      </c>
      <c r="C10" s="45"/>
      <c r="D10" s="45" t="s">
        <v>469</v>
      </c>
      <c r="E10" s="45"/>
      <c r="F10" s="45"/>
      <c r="G10" s="45"/>
      <c r="H10" s="45"/>
      <c r="I10" s="45"/>
      <c r="J10" s="45"/>
      <c r="L10" s="412"/>
      <c r="M10" s="153"/>
      <c r="N10" s="195">
        <f>IF(ISNUMBER(L10),L10,L12*240*365/1000000)</f>
        <v>438</v>
      </c>
      <c r="O10" s="45" t="s">
        <v>269</v>
      </c>
      <c r="P10" s="46"/>
      <c r="Q10"/>
      <c r="R10"/>
      <c r="S10" s="304"/>
      <c r="T10" s="305"/>
      <c r="U10" s="305"/>
    </row>
    <row r="11" spans="1:21" ht="12.75" customHeight="1">
      <c r="A11" s="46"/>
      <c r="B11" s="45"/>
      <c r="C11" s="45"/>
      <c r="D11" s="46" t="s">
        <v>300</v>
      </c>
      <c r="E11" s="46"/>
      <c r="F11" s="46"/>
      <c r="G11" s="46"/>
      <c r="H11" s="46"/>
      <c r="I11" s="46"/>
      <c r="J11" s="46"/>
      <c r="L11" s="137"/>
      <c r="M11" s="152"/>
      <c r="N11" s="192"/>
      <c r="O11" s="46"/>
      <c r="P11" s="46"/>
      <c r="Q11"/>
      <c r="R11"/>
      <c r="S11" s="304"/>
      <c r="T11" s="305"/>
      <c r="U11" s="305"/>
    </row>
    <row r="12" spans="1:21" ht="12.75" customHeight="1">
      <c r="A12" s="137">
        <v>2</v>
      </c>
      <c r="B12" s="42" t="s">
        <v>211</v>
      </c>
      <c r="C12" s="42"/>
      <c r="D12" s="45" t="s">
        <v>56</v>
      </c>
      <c r="E12" s="45"/>
      <c r="F12" s="45"/>
      <c r="G12" s="45"/>
      <c r="H12" s="45"/>
      <c r="I12" s="45"/>
      <c r="J12" s="45"/>
      <c r="L12" s="190">
        <v>5000</v>
      </c>
      <c r="M12" s="263"/>
      <c r="N12" s="195">
        <f>IF(ISNUMBER(L10),L10*1000000/240/365,L12)</f>
        <v>5000</v>
      </c>
      <c r="O12" s="45" t="s">
        <v>31</v>
      </c>
      <c r="P12" s="45"/>
      <c r="Q12"/>
      <c r="R12"/>
      <c r="S12" s="304"/>
      <c r="T12" s="305"/>
      <c r="U12" s="305"/>
    </row>
    <row r="13" spans="1:21" ht="12.75" customHeight="1">
      <c r="A13" s="137"/>
      <c r="B13" s="42"/>
      <c r="C13" s="42"/>
      <c r="D13" s="45" t="s">
        <v>93</v>
      </c>
      <c r="P13" s="45"/>
      <c r="Q13"/>
      <c r="R13"/>
      <c r="S13" s="304"/>
      <c r="T13" s="305"/>
      <c r="U13" s="305"/>
    </row>
    <row r="14" spans="1:21" ht="12.75" customHeight="1">
      <c r="A14" s="137"/>
      <c r="B14" s="42"/>
      <c r="C14" s="42"/>
      <c r="D14" s="46" t="s">
        <v>300</v>
      </c>
      <c r="E14" s="45"/>
      <c r="F14" s="45"/>
      <c r="G14" s="45"/>
      <c r="H14" s="45"/>
      <c r="I14" s="45"/>
      <c r="J14" s="45"/>
      <c r="L14" s="156"/>
      <c r="M14" s="149"/>
      <c r="N14" s="192"/>
      <c r="O14" s="45"/>
      <c r="P14" s="45"/>
      <c r="Q14"/>
      <c r="R14"/>
      <c r="S14" s="304"/>
      <c r="T14" s="305"/>
      <c r="U14" s="305"/>
    </row>
    <row r="15" spans="1:21" ht="12.75" customHeight="1">
      <c r="A15" s="137">
        <v>3</v>
      </c>
      <c r="B15" s="42" t="s">
        <v>55</v>
      </c>
      <c r="C15" s="42"/>
      <c r="D15" s="45" t="s">
        <v>60</v>
      </c>
      <c r="E15" s="45"/>
      <c r="F15" s="45"/>
      <c r="G15" s="45"/>
      <c r="H15" s="45"/>
      <c r="I15" s="45"/>
      <c r="J15" s="45"/>
      <c r="L15" s="412"/>
      <c r="M15" s="149" t="s">
        <v>270</v>
      </c>
      <c r="N15" s="192"/>
      <c r="O15" s="45"/>
      <c r="P15" s="45"/>
      <c r="Q15"/>
      <c r="R15"/>
      <c r="S15" s="304"/>
      <c r="T15" s="305"/>
      <c r="U15" s="305"/>
    </row>
    <row r="16" spans="1:21" ht="12.75" customHeight="1">
      <c r="A16" s="137"/>
      <c r="B16" s="42"/>
      <c r="C16" s="42"/>
      <c r="D16" s="45" t="s">
        <v>54</v>
      </c>
      <c r="E16" s="45"/>
      <c r="F16" s="45"/>
      <c r="G16" s="45"/>
      <c r="H16" s="45"/>
      <c r="I16" s="45"/>
      <c r="J16" s="45"/>
      <c r="L16" s="156"/>
      <c r="M16" s="149"/>
      <c r="N16" s="192"/>
      <c r="O16" s="45"/>
      <c r="P16" s="45"/>
      <c r="Q16"/>
      <c r="R16"/>
      <c r="S16" s="304"/>
      <c r="T16" s="305"/>
      <c r="U16" s="305"/>
    </row>
    <row r="17" spans="1:21" ht="12.75" customHeight="1">
      <c r="A17" s="137"/>
      <c r="B17" s="42"/>
      <c r="C17" s="42"/>
      <c r="D17" s="45" t="s">
        <v>61</v>
      </c>
      <c r="E17" s="45"/>
      <c r="F17" s="45"/>
      <c r="G17" s="45"/>
      <c r="H17" s="45"/>
      <c r="I17" s="45"/>
      <c r="J17" s="45"/>
      <c r="L17" s="156"/>
      <c r="M17" s="149"/>
      <c r="N17" s="192"/>
      <c r="O17" s="45"/>
      <c r="P17" s="45"/>
      <c r="Q17"/>
      <c r="R17"/>
      <c r="S17" s="304"/>
      <c r="T17" s="304"/>
      <c r="U17" s="304"/>
    </row>
    <row r="18" spans="1:21" ht="12.75" customHeight="1">
      <c r="A18" s="137"/>
      <c r="B18" s="42"/>
      <c r="C18" s="42"/>
      <c r="D18" s="45" t="s">
        <v>94</v>
      </c>
      <c r="E18" s="45"/>
      <c r="F18" s="45"/>
      <c r="G18" s="45"/>
      <c r="H18" s="45"/>
      <c r="I18" s="45"/>
      <c r="J18" s="45"/>
      <c r="L18" s="297" t="s">
        <v>389</v>
      </c>
      <c r="M18" s="154"/>
      <c r="N18" s="195">
        <f>IF(ISNUMBER(L15),L15,0.0585*N12)</f>
        <v>292.5</v>
      </c>
      <c r="O18" s="45" t="s">
        <v>270</v>
      </c>
      <c r="P18" s="45"/>
      <c r="Q18"/>
      <c r="R18"/>
      <c r="S18" s="304"/>
      <c r="T18" s="304"/>
      <c r="U18" s="304"/>
    </row>
    <row r="19" spans="1:21" ht="12.75" customHeight="1">
      <c r="A19" s="4"/>
      <c r="B19" s="3"/>
      <c r="C19" s="3"/>
      <c r="D19" s="45"/>
      <c r="E19" s="45"/>
      <c r="F19" s="45"/>
      <c r="G19" s="45"/>
      <c r="H19" s="45"/>
      <c r="I19" s="45"/>
      <c r="J19" s="45"/>
      <c r="L19" s="7"/>
      <c r="M19" s="154"/>
      <c r="N19" s="194"/>
      <c r="O19" s="45"/>
      <c r="P19" s="45"/>
      <c r="Q19"/>
      <c r="R19"/>
      <c r="S19" s="304"/>
      <c r="T19" s="304"/>
      <c r="U19" s="304"/>
    </row>
    <row r="20" spans="1:21" ht="12.75" customHeight="1">
      <c r="A20" s="137">
        <v>4</v>
      </c>
      <c r="B20" s="42" t="s">
        <v>26</v>
      </c>
      <c r="C20" s="42"/>
      <c r="D20" s="45" t="s">
        <v>27</v>
      </c>
      <c r="E20" s="45"/>
      <c r="F20" s="45"/>
      <c r="G20" s="45"/>
      <c r="H20" s="45"/>
      <c r="I20" s="45"/>
      <c r="J20" s="45"/>
      <c r="L20" s="412"/>
      <c r="M20" s="154" t="s">
        <v>270</v>
      </c>
      <c r="N20" s="59"/>
      <c r="P20" s="45"/>
      <c r="Q20"/>
      <c r="R20"/>
      <c r="S20" s="304"/>
      <c r="T20" s="304"/>
      <c r="U20" s="304"/>
    </row>
    <row r="21" spans="1:21" ht="5.25" customHeight="1">
      <c r="A21" s="137"/>
      <c r="B21" s="42"/>
      <c r="C21" s="42"/>
      <c r="D21" s="45"/>
      <c r="E21" s="45"/>
      <c r="F21" s="45"/>
      <c r="G21" s="45"/>
      <c r="H21" s="45"/>
      <c r="I21" s="45"/>
      <c r="J21" s="45"/>
      <c r="L21" s="289"/>
      <c r="M21" s="154"/>
      <c r="N21" s="59"/>
      <c r="P21" s="45"/>
      <c r="Q21"/>
      <c r="R21"/>
      <c r="S21" s="304"/>
      <c r="T21" s="305"/>
      <c r="U21" s="305"/>
    </row>
    <row r="22" spans="1:21" ht="12.75" customHeight="1">
      <c r="A22" s="137"/>
      <c r="B22" s="42"/>
      <c r="C22" s="42"/>
      <c r="D22" s="45" t="s">
        <v>28</v>
      </c>
      <c r="E22" s="45"/>
      <c r="F22" s="45"/>
      <c r="G22" s="45"/>
      <c r="H22" s="45"/>
      <c r="I22" s="45"/>
      <c r="J22" s="45"/>
      <c r="L22" s="412"/>
      <c r="M22" s="154" t="s">
        <v>270</v>
      </c>
      <c r="N22" s="59"/>
      <c r="P22" s="45"/>
      <c r="Q22"/>
      <c r="R22"/>
      <c r="S22" s="304"/>
      <c r="T22" s="305"/>
      <c r="U22" s="305"/>
    </row>
    <row r="23" spans="1:21" ht="12.75" customHeight="1">
      <c r="A23" s="137"/>
      <c r="B23" s="42"/>
      <c r="C23" s="42"/>
      <c r="D23" s="45"/>
      <c r="E23" s="45"/>
      <c r="F23" s="45"/>
      <c r="G23" s="45"/>
      <c r="H23" s="45"/>
      <c r="I23" s="45"/>
      <c r="J23" s="45"/>
      <c r="L23" s="157"/>
      <c r="M23" s="149"/>
      <c r="N23" s="194"/>
      <c r="O23" s="45"/>
      <c r="P23" s="45"/>
      <c r="Q23"/>
      <c r="R23"/>
      <c r="S23" s="304"/>
      <c r="T23" s="304"/>
      <c r="U23" s="304"/>
    </row>
    <row r="24" spans="1:21" ht="12.75" customHeight="1">
      <c r="A24" s="137">
        <v>5</v>
      </c>
      <c r="B24" s="42" t="s">
        <v>57</v>
      </c>
      <c r="C24" s="42"/>
      <c r="D24" s="45" t="s">
        <v>29</v>
      </c>
      <c r="E24" s="45"/>
      <c r="F24" s="45"/>
      <c r="G24" s="45"/>
      <c r="H24" s="45"/>
      <c r="I24" s="45"/>
      <c r="J24" s="45"/>
      <c r="L24" s="157"/>
      <c r="M24" s="149"/>
      <c r="N24" s="59"/>
      <c r="P24" s="45"/>
      <c r="Q24"/>
      <c r="R24"/>
      <c r="S24" s="304"/>
      <c r="T24" s="304"/>
      <c r="U24" s="304"/>
    </row>
    <row r="25" spans="1:21" ht="12.75" customHeight="1">
      <c r="A25" s="3"/>
      <c r="B25" s="3"/>
      <c r="C25" s="3"/>
      <c r="D25" s="45" t="s">
        <v>30</v>
      </c>
      <c r="E25" s="45"/>
      <c r="F25" s="45"/>
      <c r="G25" s="45"/>
      <c r="H25" s="45"/>
      <c r="I25" s="45"/>
      <c r="J25" s="45"/>
      <c r="L25" s="412"/>
      <c r="M25" s="149"/>
      <c r="N25" s="59"/>
      <c r="P25" s="45"/>
      <c r="Q25"/>
      <c r="R25"/>
      <c r="S25" s="304"/>
      <c r="T25" s="304"/>
      <c r="U25" s="304"/>
    </row>
    <row r="26" spans="1:21" ht="12.75" customHeight="1">
      <c r="A26" s="3"/>
      <c r="B26" s="3"/>
      <c r="C26" s="3"/>
      <c r="D26" s="45" t="s">
        <v>438</v>
      </c>
      <c r="E26" s="45"/>
      <c r="F26" s="45"/>
      <c r="G26" s="45"/>
      <c r="H26" s="45"/>
      <c r="I26" s="45"/>
      <c r="J26" s="45"/>
      <c r="L26" s="296" t="s">
        <v>390</v>
      </c>
      <c r="M26" s="149"/>
      <c r="N26" s="195">
        <f>IF(ISNUMBER(L20),L20*1.99+L22*1.48,IF(ISNUMBER(L25),L25*N18,0.6*N18))</f>
        <v>175.5</v>
      </c>
      <c r="O26" s="45" t="s">
        <v>270</v>
      </c>
      <c r="P26" s="45"/>
      <c r="Q26"/>
      <c r="R26"/>
      <c r="S26" s="304"/>
      <c r="T26" s="304"/>
      <c r="U26" s="304"/>
    </row>
    <row r="27" spans="1:21" ht="12.75" customHeight="1">
      <c r="A27" s="137"/>
      <c r="B27" s="42"/>
      <c r="C27" s="42"/>
      <c r="D27" s="45"/>
      <c r="E27" s="45"/>
      <c r="F27" s="45"/>
      <c r="G27" s="45"/>
      <c r="H27" s="45"/>
      <c r="I27" s="45"/>
      <c r="J27" s="45"/>
      <c r="L27" s="157"/>
      <c r="M27" s="149"/>
      <c r="N27" s="194"/>
      <c r="O27" s="45"/>
      <c r="P27" s="45"/>
      <c r="Q27"/>
      <c r="R27"/>
      <c r="S27" s="304"/>
      <c r="T27" s="305"/>
      <c r="U27" s="305"/>
    </row>
    <row r="28" spans="1:21" ht="12.75" customHeight="1">
      <c r="A28" s="137">
        <v>6</v>
      </c>
      <c r="B28" s="42" t="s">
        <v>58</v>
      </c>
      <c r="C28" s="42"/>
      <c r="D28" s="45" t="s">
        <v>59</v>
      </c>
      <c r="E28" s="45"/>
      <c r="F28" s="45"/>
      <c r="G28" s="45"/>
      <c r="H28" s="45"/>
      <c r="I28" s="45"/>
      <c r="J28" s="45"/>
      <c r="L28" s="412"/>
      <c r="M28" s="154" t="s">
        <v>270</v>
      </c>
      <c r="N28" s="194"/>
      <c r="O28" s="45"/>
      <c r="P28" s="45"/>
      <c r="Q28"/>
      <c r="R28"/>
      <c r="S28" s="304"/>
      <c r="T28" s="305"/>
      <c r="U28" s="305"/>
    </row>
    <row r="29" spans="1:21" ht="12.75" customHeight="1">
      <c r="A29" s="137"/>
      <c r="B29" s="42"/>
      <c r="C29" s="42"/>
      <c r="D29" s="45" t="s">
        <v>62</v>
      </c>
      <c r="E29" s="45"/>
      <c r="F29" s="45"/>
      <c r="G29" s="45"/>
      <c r="H29" s="45"/>
      <c r="I29" s="45"/>
      <c r="J29" s="45"/>
      <c r="L29" s="157"/>
      <c r="M29" s="149"/>
      <c r="N29" s="194"/>
      <c r="O29" s="45"/>
      <c r="P29" s="45"/>
      <c r="Q29"/>
      <c r="R29"/>
      <c r="S29" s="304"/>
      <c r="T29" s="304"/>
      <c r="U29" s="304"/>
    </row>
    <row r="30" spans="1:21" ht="12.75" customHeight="1">
      <c r="A30" s="137"/>
      <c r="B30" s="42"/>
      <c r="C30" s="42"/>
      <c r="D30" s="45" t="s">
        <v>63</v>
      </c>
      <c r="E30" s="45"/>
      <c r="F30" s="45"/>
      <c r="G30" s="45"/>
      <c r="H30" s="45"/>
      <c r="I30" s="45"/>
      <c r="J30" s="45"/>
      <c r="L30" s="157"/>
      <c r="M30" s="149"/>
      <c r="N30" s="194"/>
      <c r="O30" s="45"/>
      <c r="P30" s="45"/>
      <c r="Q30"/>
      <c r="R30"/>
      <c r="S30" s="304"/>
      <c r="T30" s="304"/>
      <c r="U30" s="304"/>
    </row>
    <row r="31" spans="1:21" ht="12.75" customHeight="1">
      <c r="A31" s="137"/>
      <c r="B31" s="42"/>
      <c r="C31" s="42"/>
      <c r="D31" s="45" t="s">
        <v>95</v>
      </c>
      <c r="E31" s="45"/>
      <c r="F31" s="45"/>
      <c r="G31" s="45"/>
      <c r="H31" s="45"/>
      <c r="I31" s="45"/>
      <c r="J31" s="45"/>
      <c r="L31" s="297" t="s">
        <v>391</v>
      </c>
      <c r="M31" s="154"/>
      <c r="N31" s="195">
        <f>IF(ISNUMBER(L28),L28,0.08*N18)</f>
        <v>23.400000000000002</v>
      </c>
      <c r="O31" s="45" t="s">
        <v>270</v>
      </c>
      <c r="P31" s="45"/>
      <c r="Q31"/>
      <c r="R31"/>
      <c r="S31" s="304"/>
      <c r="T31" s="304"/>
      <c r="U31" s="304"/>
    </row>
    <row r="32" spans="1:21" ht="12.75" customHeight="1">
      <c r="A32" s="137"/>
      <c r="B32" s="42"/>
      <c r="C32" s="42"/>
      <c r="D32" s="45"/>
      <c r="E32" s="45"/>
      <c r="F32" s="45"/>
      <c r="G32" s="45"/>
      <c r="H32" s="45"/>
      <c r="I32" s="45"/>
      <c r="J32" s="45"/>
      <c r="L32" s="157"/>
      <c r="M32" s="149"/>
      <c r="N32" s="194"/>
      <c r="O32" s="45"/>
      <c r="P32" s="45"/>
      <c r="Q32"/>
      <c r="R32"/>
      <c r="S32" s="304"/>
      <c r="T32" s="304"/>
      <c r="U32" s="304"/>
    </row>
    <row r="33" spans="1:19" ht="12.75" customHeight="1">
      <c r="A33" s="137">
        <v>7</v>
      </c>
      <c r="B33" s="47" t="s">
        <v>364</v>
      </c>
      <c r="D33" s="45" t="s">
        <v>372</v>
      </c>
      <c r="E33" s="45"/>
      <c r="F33" s="45"/>
      <c r="G33" s="45"/>
      <c r="H33" s="45"/>
      <c r="I33" s="45"/>
      <c r="J33" s="45"/>
      <c r="L33" s="191">
        <v>0.2</v>
      </c>
      <c r="M33" s="151"/>
      <c r="N33" s="194"/>
      <c r="O33" s="45"/>
      <c r="P33" s="45"/>
      <c r="Q33" s="45"/>
      <c r="R33" s="45"/>
      <c r="S33" s="44"/>
    </row>
    <row r="34" spans="1:19" ht="2.25" customHeight="1">
      <c r="A34" s="137"/>
      <c r="D34" s="45"/>
      <c r="E34" s="45"/>
      <c r="F34" s="45"/>
      <c r="G34" s="45"/>
      <c r="H34" s="45"/>
      <c r="I34" s="45"/>
      <c r="J34" s="45"/>
      <c r="L34" s="158"/>
      <c r="M34" s="151"/>
      <c r="N34" s="194"/>
      <c r="O34" s="45"/>
      <c r="P34" s="45"/>
      <c r="Q34" s="45"/>
      <c r="R34" s="45"/>
      <c r="S34" s="44"/>
    </row>
    <row r="35" spans="1:19" ht="12.75" customHeight="1">
      <c r="A35" s="137"/>
      <c r="B35" s="3" t="s">
        <v>369</v>
      </c>
      <c r="D35" s="45" t="s">
        <v>373</v>
      </c>
      <c r="E35" s="45"/>
      <c r="F35" s="45"/>
      <c r="G35" s="45"/>
      <c r="H35" s="45"/>
      <c r="I35" s="45"/>
      <c r="J35" s="45"/>
      <c r="L35" s="191">
        <v>0.2</v>
      </c>
      <c r="M35" s="151"/>
      <c r="N35" s="194"/>
      <c r="O35" s="45"/>
      <c r="P35" s="45"/>
      <c r="Q35" s="45"/>
      <c r="R35" s="45"/>
      <c r="S35" s="44"/>
    </row>
    <row r="36" spans="1:19" ht="10.5" customHeight="1">
      <c r="A36" s="137"/>
      <c r="D36" s="45"/>
      <c r="E36" s="45"/>
      <c r="F36" s="45"/>
      <c r="G36" s="45"/>
      <c r="H36" s="45"/>
      <c r="I36" s="45"/>
      <c r="J36" s="45"/>
      <c r="L36" s="156"/>
      <c r="M36" s="149"/>
      <c r="N36" s="194"/>
      <c r="O36" s="45"/>
      <c r="P36" s="45"/>
      <c r="Q36" s="45"/>
      <c r="R36" s="45"/>
      <c r="S36" s="44"/>
    </row>
    <row r="37" spans="1:19" ht="12.75" customHeight="1">
      <c r="A37" s="137">
        <v>8</v>
      </c>
      <c r="B37" s="47" t="s">
        <v>363</v>
      </c>
      <c r="D37" s="45" t="s">
        <v>17</v>
      </c>
      <c r="E37" s="45"/>
      <c r="F37" s="45"/>
      <c r="G37" s="45"/>
      <c r="H37" s="45"/>
      <c r="I37" s="45"/>
      <c r="J37" s="45"/>
      <c r="L37" s="412"/>
      <c r="M37" s="149" t="s">
        <v>270</v>
      </c>
      <c r="N37" s="59"/>
      <c r="O37" s="149"/>
      <c r="P37" s="45"/>
      <c r="Q37" s="45"/>
      <c r="R37" s="45"/>
      <c r="S37" s="44"/>
    </row>
    <row r="38" spans="1:19" ht="12.75" customHeight="1">
      <c r="A38" s="137"/>
      <c r="D38" s="45" t="s">
        <v>385</v>
      </c>
      <c r="E38" s="45"/>
      <c r="F38" s="45"/>
      <c r="G38" s="45"/>
      <c r="H38" s="45"/>
      <c r="I38" s="45"/>
      <c r="J38" s="45"/>
      <c r="L38" s="298" t="s">
        <v>392</v>
      </c>
      <c r="M38" s="149"/>
      <c r="N38" s="197">
        <f>IF(SUM(L37)&gt;1,SUM(L37),(1-L33*0.4)*N26)</f>
        <v>161.45999999999998</v>
      </c>
      <c r="O38" s="149" t="s">
        <v>270</v>
      </c>
      <c r="P38" s="45"/>
      <c r="Q38" s="45"/>
      <c r="R38" s="45"/>
      <c r="S38" s="44"/>
    </row>
    <row r="39" spans="1:19" ht="2.25" customHeight="1">
      <c r="A39" s="137"/>
      <c r="D39" s="45"/>
      <c r="E39" s="45"/>
      <c r="F39" s="45"/>
      <c r="G39" s="45"/>
      <c r="H39" s="45"/>
      <c r="I39" s="45"/>
      <c r="J39" s="45"/>
      <c r="L39" s="156"/>
      <c r="M39" s="149"/>
      <c r="N39" s="194"/>
      <c r="O39" s="45"/>
      <c r="P39" s="45"/>
      <c r="Q39" s="45"/>
      <c r="R39" s="45"/>
      <c r="S39" s="44"/>
    </row>
    <row r="40" spans="1:19" ht="12.75" customHeight="1">
      <c r="A40" s="137"/>
      <c r="B40" s="42"/>
      <c r="C40" s="42"/>
      <c r="D40" s="45" t="s">
        <v>386</v>
      </c>
      <c r="E40" s="45"/>
      <c r="F40" s="45"/>
      <c r="G40" s="45"/>
      <c r="H40" s="45"/>
      <c r="I40" s="45"/>
      <c r="J40" s="45"/>
      <c r="L40" s="412"/>
      <c r="M40" s="3" t="s">
        <v>270</v>
      </c>
      <c r="N40" s="59"/>
      <c r="O40" s="149"/>
      <c r="P40" s="45"/>
      <c r="Q40" s="45"/>
      <c r="R40" s="45"/>
      <c r="S40" s="44"/>
    </row>
    <row r="41" spans="1:19" ht="12.75" customHeight="1">
      <c r="A41" s="137"/>
      <c r="B41" s="42"/>
      <c r="C41" s="42"/>
      <c r="D41" s="45" t="s">
        <v>387</v>
      </c>
      <c r="E41" s="45"/>
      <c r="F41" s="45"/>
      <c r="G41" s="45"/>
      <c r="H41" s="45"/>
      <c r="I41" s="45"/>
      <c r="J41" s="45"/>
      <c r="L41" s="300" t="s">
        <v>394</v>
      </c>
      <c r="M41" s="148"/>
      <c r="N41" s="197">
        <f>IF(SUM(L40)&gt;1,SUM(L40),0)</f>
        <v>0</v>
      </c>
      <c r="O41" s="149" t="s">
        <v>270</v>
      </c>
      <c r="P41" s="45"/>
      <c r="Q41" s="45"/>
      <c r="R41" s="45"/>
      <c r="S41" s="44"/>
    </row>
    <row r="42" spans="1:19" ht="2.25" customHeight="1">
      <c r="A42" s="137"/>
      <c r="B42" s="42"/>
      <c r="C42" s="42"/>
      <c r="D42" s="45"/>
      <c r="E42" s="45"/>
      <c r="F42" s="45"/>
      <c r="G42" s="45"/>
      <c r="H42" s="45"/>
      <c r="I42" s="45"/>
      <c r="J42" s="45"/>
      <c r="L42" s="57"/>
      <c r="M42" s="148"/>
      <c r="N42" s="194"/>
      <c r="O42" s="45"/>
      <c r="P42" s="45"/>
      <c r="Q42" s="45"/>
      <c r="R42" s="45"/>
      <c r="S42" s="44"/>
    </row>
    <row r="43" spans="1:19" ht="12.75" customHeight="1">
      <c r="A43" s="137"/>
      <c r="B43" s="42"/>
      <c r="C43" s="42"/>
      <c r="D43" s="45" t="s">
        <v>388</v>
      </c>
      <c r="E43" s="45"/>
      <c r="F43" s="45"/>
      <c r="G43" s="45"/>
      <c r="H43" s="45"/>
      <c r="I43" s="45"/>
      <c r="J43" s="45"/>
      <c r="L43" s="57" t="s">
        <v>393</v>
      </c>
      <c r="M43" s="148"/>
      <c r="N43" s="197">
        <f>SUM(N38,N41)</f>
        <v>161.45999999999998</v>
      </c>
      <c r="O43" s="45" t="s">
        <v>270</v>
      </c>
      <c r="P43" s="45"/>
      <c r="Q43" s="45"/>
      <c r="R43" s="45"/>
      <c r="S43" s="44"/>
    </row>
    <row r="44" spans="1:19" ht="12.75" customHeight="1">
      <c r="A44" s="57"/>
      <c r="B44" s="42"/>
      <c r="C44" s="42"/>
      <c r="D44" s="45"/>
      <c r="E44" s="45"/>
      <c r="F44" s="45"/>
      <c r="G44" s="45"/>
      <c r="H44" s="45"/>
      <c r="I44" s="45"/>
      <c r="J44" s="45"/>
      <c r="L44" s="7"/>
      <c r="M44" s="154"/>
      <c r="N44" s="57"/>
      <c r="O44" s="45"/>
      <c r="P44" s="45"/>
      <c r="Q44" s="45"/>
      <c r="R44" s="45"/>
      <c r="S44" s="44"/>
    </row>
    <row r="45" spans="1:19" ht="12.75" customHeight="1">
      <c r="A45" s="137">
        <v>9</v>
      </c>
      <c r="B45" s="46" t="s">
        <v>422</v>
      </c>
      <c r="C45" s="42"/>
      <c r="D45" s="45" t="s">
        <v>424</v>
      </c>
      <c r="E45" s="45"/>
      <c r="F45" s="45"/>
      <c r="G45" s="45"/>
      <c r="H45" s="45"/>
      <c r="I45" s="45"/>
      <c r="J45" s="45"/>
      <c r="L45" s="7"/>
      <c r="M45" s="154"/>
      <c r="N45" s="57"/>
      <c r="O45" s="45"/>
      <c r="P45" s="45"/>
      <c r="Q45" s="45"/>
      <c r="R45" s="45"/>
      <c r="S45" s="44"/>
    </row>
    <row r="46" spans="1:19" ht="12.75" customHeight="1">
      <c r="A46" s="57"/>
      <c r="B46" s="42"/>
      <c r="C46" s="42"/>
      <c r="D46" s="46" t="s">
        <v>426</v>
      </c>
      <c r="E46" s="45"/>
      <c r="F46" s="45"/>
      <c r="G46" s="45"/>
      <c r="H46" s="45"/>
      <c r="I46" s="45"/>
      <c r="J46" s="45"/>
      <c r="L46" s="297" t="s">
        <v>427</v>
      </c>
      <c r="M46" s="154"/>
      <c r="N46" s="299">
        <f>(N18-N26-N31)*L33*5.3</f>
        <v>99.215999999999994</v>
      </c>
      <c r="O46" s="45" t="s">
        <v>271</v>
      </c>
      <c r="P46" s="45"/>
      <c r="Q46" s="45"/>
      <c r="R46" s="45"/>
      <c r="S46" s="44"/>
    </row>
    <row r="47" spans="1:19" ht="12.75" customHeight="1">
      <c r="A47" s="57"/>
      <c r="B47" s="42"/>
      <c r="C47" s="42"/>
      <c r="D47" s="45"/>
      <c r="E47" s="45" t="s">
        <v>374</v>
      </c>
      <c r="F47" s="45"/>
      <c r="G47" s="45"/>
      <c r="H47" s="45"/>
      <c r="I47" s="45"/>
      <c r="J47" s="45"/>
      <c r="L47" s="297"/>
      <c r="M47" s="154"/>
      <c r="N47" s="57"/>
      <c r="O47" s="45"/>
      <c r="P47" s="45"/>
      <c r="Q47" s="45"/>
      <c r="R47" s="45"/>
      <c r="S47" s="44"/>
    </row>
    <row r="48" spans="1:19" ht="12.75" customHeight="1">
      <c r="A48" s="57"/>
      <c r="B48" s="42"/>
      <c r="C48" s="42"/>
      <c r="D48" s="45" t="s">
        <v>423</v>
      </c>
      <c r="E48" s="45"/>
      <c r="F48" s="45"/>
      <c r="G48" s="45"/>
      <c r="H48" s="45"/>
      <c r="I48" s="45"/>
      <c r="J48" s="45"/>
      <c r="L48" s="297"/>
      <c r="M48" s="154"/>
      <c r="N48" s="57"/>
      <c r="O48" s="45"/>
      <c r="P48" s="45"/>
      <c r="Q48" s="45"/>
      <c r="R48" s="45"/>
      <c r="S48" s="44"/>
    </row>
    <row r="49" spans="1:19" ht="12.75" customHeight="1">
      <c r="A49" s="57"/>
      <c r="B49" s="42"/>
      <c r="C49" s="42"/>
      <c r="D49" s="46" t="s">
        <v>425</v>
      </c>
      <c r="E49" s="45"/>
      <c r="F49" s="45"/>
      <c r="G49" s="45"/>
      <c r="H49" s="45"/>
      <c r="I49" s="45"/>
      <c r="J49" s="45"/>
      <c r="L49" s="297" t="s">
        <v>428</v>
      </c>
      <c r="M49" s="154"/>
      <c r="N49" s="299">
        <f>(N26-N43)*L35*5.3</f>
        <v>14.882400000000022</v>
      </c>
      <c r="O49" s="45" t="s">
        <v>271</v>
      </c>
      <c r="P49" s="45"/>
      <c r="Q49" s="45"/>
      <c r="R49" s="45"/>
      <c r="S49" s="44"/>
    </row>
    <row r="50" spans="1:19" ht="12.75" customHeight="1">
      <c r="A50" s="57"/>
      <c r="B50" s="42"/>
      <c r="C50" s="42"/>
      <c r="D50" s="46"/>
      <c r="E50" s="45" t="s">
        <v>375</v>
      </c>
      <c r="F50" s="45"/>
      <c r="G50" s="45"/>
      <c r="H50" s="45"/>
      <c r="I50" s="45"/>
      <c r="J50" s="45"/>
      <c r="L50" s="7"/>
      <c r="M50" s="154"/>
      <c r="N50" s="289"/>
      <c r="O50" s="45"/>
      <c r="P50" s="45"/>
      <c r="Q50" s="45"/>
      <c r="R50" s="45"/>
      <c r="S50" s="44"/>
    </row>
    <row r="51" spans="1:19" ht="12.75" customHeight="1">
      <c r="A51" s="57"/>
      <c r="B51" s="42"/>
      <c r="C51" s="42"/>
      <c r="D51" s="45"/>
      <c r="E51" s="45"/>
      <c r="F51" s="45"/>
      <c r="G51" s="45"/>
      <c r="H51" s="45"/>
      <c r="I51" s="45"/>
      <c r="J51" s="45"/>
      <c r="L51" s="7"/>
      <c r="M51" s="154"/>
      <c r="N51" s="57"/>
      <c r="O51" s="45"/>
      <c r="P51" s="45"/>
      <c r="Q51" s="45"/>
      <c r="R51" s="45"/>
      <c r="S51" s="44"/>
    </row>
    <row r="52" spans="1:19" ht="12.75" customHeight="1">
      <c r="A52" s="137">
        <v>10</v>
      </c>
      <c r="B52" s="42" t="s">
        <v>367</v>
      </c>
      <c r="C52" s="42"/>
      <c r="D52" s="45"/>
      <c r="E52" s="45"/>
      <c r="F52" s="45" t="s">
        <v>368</v>
      </c>
      <c r="G52" s="45"/>
      <c r="H52" s="45"/>
      <c r="I52" s="45"/>
      <c r="J52" s="45"/>
      <c r="L52" s="412"/>
      <c r="M52" s="155" t="s">
        <v>134</v>
      </c>
      <c r="N52" s="157"/>
      <c r="O52" s="45"/>
      <c r="P52" s="45"/>
      <c r="Q52" s="45"/>
      <c r="R52" s="45"/>
      <c r="S52" s="44"/>
    </row>
    <row r="53" spans="1:19" ht="12.75" customHeight="1">
      <c r="A53" s="57"/>
      <c r="B53" s="42"/>
      <c r="C53" s="42"/>
      <c r="D53" s="45"/>
      <c r="E53" s="45"/>
      <c r="F53" s="45" t="s">
        <v>300</v>
      </c>
      <c r="G53" s="45"/>
      <c r="H53" s="45"/>
      <c r="I53" s="45"/>
      <c r="J53" s="45"/>
      <c r="L53" s="57"/>
      <c r="M53" s="148"/>
      <c r="N53" s="194"/>
      <c r="O53" s="45"/>
      <c r="P53" s="45"/>
      <c r="Q53" s="45"/>
      <c r="R53" s="45"/>
      <c r="S53" s="44"/>
    </row>
    <row r="54" spans="1:19" ht="12.75" customHeight="1">
      <c r="A54" s="57"/>
      <c r="B54" s="42"/>
      <c r="C54" s="42"/>
      <c r="D54" s="45"/>
      <c r="E54" s="45"/>
      <c r="F54" s="45" t="s">
        <v>32</v>
      </c>
      <c r="G54" s="45"/>
      <c r="H54" s="45"/>
      <c r="I54" s="45"/>
      <c r="J54" s="45"/>
      <c r="L54" s="412"/>
      <c r="M54" s="148" t="s">
        <v>271</v>
      </c>
      <c r="N54" s="194"/>
      <c r="O54" s="45"/>
      <c r="P54" s="45"/>
      <c r="Q54" s="45"/>
      <c r="R54" s="45"/>
      <c r="S54" s="44"/>
    </row>
    <row r="55" spans="1:19" ht="3.75" customHeight="1">
      <c r="A55" s="57"/>
      <c r="B55" s="42"/>
      <c r="C55" s="42"/>
      <c r="D55" s="45"/>
      <c r="E55" s="45"/>
      <c r="F55" s="45"/>
      <c r="G55" s="45"/>
      <c r="H55" s="45"/>
      <c r="I55" s="45"/>
      <c r="J55" s="45"/>
      <c r="L55" s="308"/>
      <c r="M55" s="148"/>
      <c r="N55" s="194"/>
      <c r="O55" s="45"/>
      <c r="P55" s="45"/>
      <c r="Q55" s="45"/>
      <c r="R55" s="45"/>
      <c r="S55" s="44"/>
    </row>
    <row r="56" spans="1:19" ht="12.75" customHeight="1">
      <c r="A56" s="57"/>
      <c r="B56" s="42"/>
      <c r="C56" s="42"/>
      <c r="D56" s="46" t="s">
        <v>376</v>
      </c>
      <c r="E56" s="45"/>
      <c r="F56" s="45"/>
      <c r="G56" s="45"/>
      <c r="H56" s="45"/>
      <c r="I56" s="45"/>
      <c r="J56" s="45"/>
      <c r="L56" s="7"/>
      <c r="M56" s="154"/>
      <c r="N56" s="195">
        <f>IF(ISNUMBER(L52),0.0142464*L52,IF(ISNUMBER(L54),L54,0))</f>
        <v>0</v>
      </c>
      <c r="O56" s="45" t="s">
        <v>271</v>
      </c>
      <c r="P56" s="45"/>
      <c r="Q56" s="45"/>
      <c r="R56" s="45"/>
      <c r="S56" s="44"/>
    </row>
    <row r="57" spans="1:19" ht="12.75" customHeight="1">
      <c r="A57" s="57"/>
      <c r="B57" s="42"/>
      <c r="C57" s="42"/>
      <c r="D57" s="45"/>
      <c r="E57" s="45"/>
      <c r="F57" s="45"/>
      <c r="G57" s="45"/>
      <c r="H57" s="45"/>
      <c r="I57" s="45"/>
      <c r="J57" s="45"/>
      <c r="L57" s="7"/>
      <c r="M57" s="154"/>
      <c r="N57" s="57"/>
      <c r="O57" s="45"/>
      <c r="P57" s="45"/>
      <c r="Q57" s="45"/>
      <c r="R57" s="45"/>
      <c r="S57" s="44"/>
    </row>
    <row r="58" spans="1:19" ht="12.75" customHeight="1">
      <c r="A58" s="4">
        <v>11</v>
      </c>
      <c r="B58" s="47" t="s">
        <v>429</v>
      </c>
      <c r="C58" s="42"/>
      <c r="D58" s="46" t="s">
        <v>430</v>
      </c>
      <c r="E58" s="45"/>
      <c r="F58" s="45"/>
      <c r="G58" s="45"/>
      <c r="H58" s="45"/>
      <c r="I58" s="45"/>
      <c r="J58" s="45"/>
      <c r="L58" s="7"/>
      <c r="M58" s="154"/>
      <c r="N58" s="161">
        <f>N46+N49-N56</f>
        <v>114.09840000000001</v>
      </c>
      <c r="O58" s="45" t="s">
        <v>271</v>
      </c>
      <c r="P58" s="45"/>
      <c r="Q58" s="45"/>
      <c r="R58" s="45"/>
      <c r="S58" s="44"/>
    </row>
    <row r="59" spans="1:19" ht="12.75" customHeight="1">
      <c r="C59" s="42"/>
      <c r="D59" s="46"/>
      <c r="E59" s="45"/>
      <c r="F59" s="45"/>
      <c r="G59" s="45"/>
      <c r="H59" s="45"/>
      <c r="I59" s="45"/>
      <c r="J59" s="45"/>
      <c r="L59" s="7"/>
      <c r="M59" s="154"/>
      <c r="N59" s="307"/>
      <c r="O59" s="45"/>
      <c r="P59" s="45"/>
      <c r="Q59" s="45"/>
      <c r="R59" s="45"/>
      <c r="S59" s="44"/>
    </row>
    <row r="60" spans="1:19" ht="12.75" customHeight="1">
      <c r="B60" s="42" t="s">
        <v>18</v>
      </c>
      <c r="C60" s="42"/>
      <c r="D60" s="46"/>
      <c r="E60" s="45"/>
      <c r="F60" s="45"/>
      <c r="G60" s="45"/>
      <c r="H60" s="45"/>
      <c r="I60" s="45"/>
      <c r="J60" s="45"/>
      <c r="L60" s="7"/>
      <c r="M60" s="154"/>
      <c r="N60" s="307"/>
      <c r="O60" s="45"/>
      <c r="P60" s="45"/>
      <c r="Q60" s="45"/>
      <c r="R60" s="45"/>
      <c r="S60" s="44"/>
    </row>
    <row r="61" spans="1:19" ht="12.75" customHeight="1" thickBot="1">
      <c r="A61" s="290"/>
      <c r="B61" s="291"/>
      <c r="C61" s="291"/>
      <c r="D61" s="292"/>
      <c r="E61" s="292"/>
      <c r="F61" s="292"/>
      <c r="G61" s="292"/>
      <c r="H61" s="292"/>
      <c r="I61" s="292"/>
      <c r="J61" s="292"/>
      <c r="K61" s="293"/>
      <c r="L61" s="184"/>
      <c r="M61" s="294"/>
      <c r="N61" s="306"/>
      <c r="O61" s="292"/>
      <c r="P61" s="45"/>
      <c r="Q61" s="45"/>
      <c r="R61" s="45"/>
      <c r="S61" s="44"/>
    </row>
    <row r="62" spans="1:19" ht="12.75" customHeight="1">
      <c r="A62" s="137"/>
      <c r="B62" s="42"/>
      <c r="C62" s="42"/>
      <c r="D62" s="45"/>
      <c r="E62" s="45"/>
      <c r="F62" s="45"/>
      <c r="G62" s="45"/>
      <c r="H62" s="45"/>
      <c r="I62" s="45"/>
      <c r="J62" s="45"/>
      <c r="L62" s="7"/>
      <c r="M62" s="154"/>
      <c r="N62" s="162"/>
      <c r="O62" s="45"/>
      <c r="P62" s="45"/>
      <c r="Q62" s="45"/>
      <c r="R62" s="45"/>
      <c r="S62" s="44"/>
    </row>
    <row r="63" spans="1:19" ht="12.75" customHeight="1">
      <c r="A63" s="137">
        <v>12</v>
      </c>
      <c r="B63" s="42" t="s">
        <v>377</v>
      </c>
      <c r="C63" s="42"/>
      <c r="D63" s="196" t="s">
        <v>379</v>
      </c>
      <c r="E63" s="45"/>
      <c r="F63" s="45"/>
      <c r="G63" s="45"/>
      <c r="H63" s="45"/>
      <c r="I63" s="45"/>
      <c r="J63" s="45"/>
      <c r="K63" s="45"/>
      <c r="L63" s="45"/>
      <c r="M63" s="45"/>
      <c r="N63" s="195">
        <f>N12*0.036*0.16</f>
        <v>28.8</v>
      </c>
      <c r="O63" s="45" t="s">
        <v>380</v>
      </c>
      <c r="P63" s="45"/>
      <c r="Q63" s="45"/>
      <c r="R63" s="45"/>
      <c r="S63" s="44"/>
    </row>
    <row r="64" spans="1:19" ht="12.75" customHeight="1">
      <c r="A64" s="137"/>
      <c r="B64" s="42"/>
      <c r="C64" s="42"/>
      <c r="D64" s="58"/>
      <c r="E64" s="45"/>
      <c r="F64" s="45"/>
      <c r="G64" s="45"/>
      <c r="H64" s="45"/>
      <c r="I64" s="45"/>
      <c r="J64" s="45"/>
      <c r="K64" s="45"/>
      <c r="L64" s="45"/>
      <c r="M64" s="45"/>
      <c r="N64" s="194"/>
      <c r="O64" s="45"/>
      <c r="P64" s="45"/>
      <c r="Q64" s="45"/>
      <c r="R64" s="45"/>
      <c r="S64" s="44"/>
    </row>
    <row r="65" spans="1:19" ht="12.75" customHeight="1">
      <c r="A65" s="137">
        <v>13</v>
      </c>
      <c r="B65" s="42" t="s">
        <v>381</v>
      </c>
      <c r="C65" s="42"/>
      <c r="D65" s="196" t="s">
        <v>5</v>
      </c>
      <c r="E65" s="45"/>
      <c r="F65" s="45"/>
      <c r="G65" s="45"/>
      <c r="H65" s="45"/>
      <c r="I65" s="45"/>
      <c r="J65" s="45"/>
      <c r="K65" s="45"/>
      <c r="L65" s="412">
        <f>N38</f>
        <v>161.45999999999998</v>
      </c>
      <c r="M65" s="45" t="s">
        <v>270</v>
      </c>
      <c r="N65" s="194"/>
      <c r="O65" s="45"/>
      <c r="P65" s="45"/>
      <c r="Q65" s="45"/>
      <c r="R65" s="45"/>
      <c r="S65" s="44"/>
    </row>
    <row r="66" spans="1:19" ht="2.25" customHeight="1">
      <c r="A66" s="137"/>
      <c r="B66" s="42"/>
      <c r="C66" s="42"/>
      <c r="D66" s="58"/>
      <c r="E66" s="45"/>
      <c r="F66" s="45"/>
      <c r="G66" s="45"/>
      <c r="H66" s="45"/>
      <c r="I66" s="45"/>
      <c r="J66" s="45"/>
      <c r="K66" s="45"/>
      <c r="L66" s="45"/>
      <c r="M66" s="45"/>
      <c r="N66" s="194"/>
      <c r="O66" s="45"/>
      <c r="P66" s="45"/>
      <c r="Q66" s="45"/>
      <c r="R66" s="45"/>
      <c r="S66" s="44"/>
    </row>
    <row r="67" spans="1:19" ht="12.75" customHeight="1">
      <c r="A67" s="137"/>
      <c r="B67" s="42"/>
      <c r="C67" s="42"/>
      <c r="D67" s="196" t="s">
        <v>33</v>
      </c>
      <c r="E67" s="45"/>
      <c r="F67" s="45"/>
      <c r="G67" s="45"/>
      <c r="H67" s="45"/>
      <c r="I67" s="45"/>
      <c r="J67" s="45"/>
      <c r="K67" s="45"/>
      <c r="L67" s="300" t="s">
        <v>395</v>
      </c>
      <c r="M67" s="45"/>
      <c r="N67" s="195">
        <f>IF(ISNUMBER(L65),L65*0.05,0)</f>
        <v>8.0729999999999986</v>
      </c>
      <c r="O67" s="45" t="s">
        <v>380</v>
      </c>
      <c r="P67" s="45"/>
      <c r="Q67" s="45"/>
      <c r="R67" s="45"/>
      <c r="S67" s="44"/>
    </row>
    <row r="68" spans="1:19" ht="2.25" customHeight="1">
      <c r="A68" s="137"/>
      <c r="B68" s="42"/>
      <c r="C68" s="42"/>
      <c r="D68" s="58"/>
      <c r="E68" s="45"/>
      <c r="F68" s="45"/>
      <c r="G68" s="45"/>
      <c r="H68" s="45"/>
      <c r="I68" s="45"/>
      <c r="J68" s="45"/>
      <c r="K68" s="45"/>
      <c r="L68" s="300"/>
      <c r="M68" s="45"/>
      <c r="N68" s="194"/>
      <c r="O68" s="45"/>
      <c r="P68" s="45"/>
      <c r="Q68" s="45"/>
      <c r="R68" s="45"/>
      <c r="S68" s="44"/>
    </row>
    <row r="69" spans="1:19" ht="12.75" customHeight="1">
      <c r="A69" s="137"/>
      <c r="B69" s="42"/>
      <c r="C69" s="42"/>
      <c r="D69" s="196" t="s">
        <v>417</v>
      </c>
      <c r="E69" s="45"/>
      <c r="F69" s="45"/>
      <c r="G69" s="45"/>
      <c r="H69" s="45"/>
      <c r="I69" s="45"/>
      <c r="J69" s="45"/>
      <c r="K69" s="45"/>
      <c r="L69" s="300" t="s">
        <v>396</v>
      </c>
      <c r="M69" s="45"/>
      <c r="N69" s="195">
        <v>0</v>
      </c>
      <c r="O69" s="45" t="s">
        <v>380</v>
      </c>
      <c r="P69" s="45"/>
      <c r="Q69" s="45"/>
      <c r="R69" s="45"/>
      <c r="S69" s="44"/>
    </row>
    <row r="70" spans="1:19" ht="2.25" customHeight="1">
      <c r="A70" s="137"/>
      <c r="B70" s="42"/>
      <c r="C70" s="42"/>
      <c r="D70" s="59"/>
      <c r="E70" s="45"/>
      <c r="F70" s="45"/>
      <c r="G70" s="45"/>
      <c r="H70" s="45"/>
      <c r="I70" s="45"/>
      <c r="J70" s="45"/>
      <c r="K70" s="45"/>
      <c r="L70" s="300"/>
      <c r="M70" s="45"/>
      <c r="N70" s="194"/>
      <c r="O70" s="45"/>
      <c r="P70" s="45"/>
      <c r="Q70" s="45"/>
      <c r="R70" s="45"/>
      <c r="S70" s="44"/>
    </row>
    <row r="71" spans="1:19" ht="12.75" customHeight="1">
      <c r="A71" s="137"/>
      <c r="B71" s="42"/>
      <c r="C71" s="42"/>
      <c r="D71" s="196" t="s">
        <v>418</v>
      </c>
      <c r="E71" s="45"/>
      <c r="F71" s="45"/>
      <c r="G71" s="45"/>
      <c r="H71" s="45"/>
      <c r="I71" s="45"/>
      <c r="J71" s="45"/>
      <c r="K71" s="45"/>
      <c r="L71" s="300" t="s">
        <v>397</v>
      </c>
      <c r="M71" s="45"/>
      <c r="N71" s="158">
        <f>N67+N69</f>
        <v>8.0729999999999986</v>
      </c>
      <c r="O71" s="45" t="s">
        <v>380</v>
      </c>
      <c r="P71" s="45"/>
      <c r="Q71" s="45"/>
      <c r="R71" s="45"/>
      <c r="S71" s="44"/>
    </row>
    <row r="72" spans="1:19" ht="12.75" customHeight="1">
      <c r="A72" s="137"/>
      <c r="B72" s="42"/>
      <c r="C72" s="42"/>
      <c r="D72" s="59"/>
      <c r="E72" s="45"/>
      <c r="F72" s="45"/>
      <c r="G72" s="45"/>
      <c r="H72" s="45"/>
      <c r="I72" s="45"/>
      <c r="J72" s="45"/>
      <c r="K72" s="45"/>
      <c r="L72" s="45"/>
      <c r="M72" s="45"/>
      <c r="N72" s="194"/>
      <c r="O72" s="45"/>
      <c r="P72" s="45"/>
      <c r="Q72" s="45"/>
      <c r="R72" s="45"/>
      <c r="S72" s="44"/>
    </row>
    <row r="73" spans="1:19" ht="12.75" customHeight="1">
      <c r="A73" s="137">
        <v>14</v>
      </c>
      <c r="B73" s="42" t="s">
        <v>398</v>
      </c>
      <c r="C73" s="42"/>
      <c r="D73" s="295" t="s">
        <v>3</v>
      </c>
      <c r="E73" s="45"/>
      <c r="F73" s="45"/>
      <c r="G73" s="45"/>
      <c r="H73" s="45"/>
      <c r="I73" s="45"/>
      <c r="J73" s="45"/>
      <c r="K73" s="45"/>
      <c r="L73" s="413">
        <f>SUM(N63,-N71,-L76,-L78)</f>
        <v>20.727000000000004</v>
      </c>
      <c r="M73" s="45" t="s">
        <v>380</v>
      </c>
      <c r="N73" s="194"/>
      <c r="O73" s="45"/>
      <c r="P73" s="45"/>
      <c r="Q73" s="45"/>
      <c r="R73" s="45"/>
      <c r="S73" s="44"/>
    </row>
    <row r="74" spans="1:19" ht="12.75" customHeight="1">
      <c r="A74" s="137"/>
      <c r="B74" s="42"/>
      <c r="C74" s="42"/>
      <c r="D74" s="59" t="s">
        <v>1</v>
      </c>
      <c r="E74" s="45"/>
      <c r="F74" s="45"/>
      <c r="G74" s="45"/>
      <c r="H74" s="45"/>
      <c r="I74" s="45"/>
      <c r="J74" s="45"/>
      <c r="K74" s="45"/>
      <c r="L74" s="300" t="s">
        <v>420</v>
      </c>
      <c r="M74" s="45"/>
      <c r="N74" s="158">
        <f>IF(L73&gt;1,L73,SUM(N63,-N71,-L76,-L78))</f>
        <v>20.727000000000004</v>
      </c>
      <c r="O74" s="45" t="s">
        <v>380</v>
      </c>
      <c r="P74" s="45"/>
      <c r="Q74" s="45"/>
      <c r="R74" s="45"/>
      <c r="S74" s="44"/>
    </row>
    <row r="75" spans="1:19" ht="2.25" customHeight="1">
      <c r="A75" s="137"/>
      <c r="B75" s="42"/>
      <c r="C75" s="42"/>
      <c r="D75" s="59"/>
      <c r="E75" s="45"/>
      <c r="F75" s="45"/>
      <c r="G75" s="45"/>
      <c r="H75" s="45"/>
      <c r="I75" s="45"/>
      <c r="J75" s="45"/>
      <c r="K75" s="45"/>
      <c r="L75" s="45"/>
      <c r="M75" s="45"/>
      <c r="N75" s="194"/>
      <c r="O75" s="45"/>
      <c r="P75" s="45"/>
      <c r="Q75" s="45"/>
      <c r="R75" s="45"/>
      <c r="S75" s="44"/>
    </row>
    <row r="76" spans="1:19" ht="12.75" customHeight="1">
      <c r="A76" s="137"/>
      <c r="B76" s="42"/>
      <c r="C76" s="42"/>
      <c r="D76" s="295" t="s">
        <v>384</v>
      </c>
      <c r="E76" s="45"/>
      <c r="F76" s="45"/>
      <c r="G76" s="45"/>
      <c r="H76" s="45"/>
      <c r="I76" s="45"/>
      <c r="J76" s="45"/>
      <c r="K76" s="45"/>
      <c r="L76" s="412"/>
      <c r="M76" s="45" t="s">
        <v>380</v>
      </c>
      <c r="N76" s="194"/>
      <c r="O76" s="45"/>
      <c r="P76" s="45"/>
      <c r="Q76" s="45"/>
      <c r="R76" s="45"/>
      <c r="S76" s="44"/>
    </row>
    <row r="77" spans="1:19" ht="2.25" customHeight="1">
      <c r="A77" s="137"/>
      <c r="B77" s="42"/>
      <c r="C77" s="42"/>
      <c r="D77" s="59"/>
      <c r="E77" s="45"/>
      <c r="F77" s="45"/>
      <c r="G77" s="45"/>
      <c r="H77" s="45"/>
      <c r="I77" s="45"/>
      <c r="J77" s="45"/>
      <c r="K77" s="45"/>
      <c r="L77" s="45"/>
      <c r="M77" s="45"/>
      <c r="N77" s="194"/>
      <c r="O77" s="45"/>
      <c r="P77" s="45"/>
      <c r="Q77" s="45"/>
      <c r="R77" s="45"/>
      <c r="S77" s="44"/>
    </row>
    <row r="78" spans="1:19" ht="12.75" customHeight="1">
      <c r="A78" s="137"/>
      <c r="B78" s="42"/>
      <c r="C78" s="42"/>
      <c r="D78" s="295" t="s">
        <v>383</v>
      </c>
      <c r="E78" s="45"/>
      <c r="F78" s="45"/>
      <c r="G78" s="45"/>
      <c r="H78" s="45"/>
      <c r="I78" s="45"/>
      <c r="J78" s="45"/>
      <c r="K78" s="45"/>
      <c r="L78" s="412"/>
      <c r="M78" s="45" t="s">
        <v>380</v>
      </c>
      <c r="N78" s="194"/>
      <c r="O78" s="45"/>
      <c r="P78" s="45"/>
      <c r="Q78" s="45"/>
      <c r="R78" s="45"/>
      <c r="S78" s="44"/>
    </row>
    <row r="79" spans="1:19" ht="2.25" customHeight="1">
      <c r="A79" s="137"/>
      <c r="B79" s="42"/>
      <c r="C79" s="42"/>
      <c r="D79" s="59"/>
      <c r="E79" s="45"/>
      <c r="F79" s="45"/>
      <c r="G79" s="45"/>
      <c r="H79" s="45"/>
      <c r="I79" s="45"/>
      <c r="J79" s="45"/>
      <c r="K79" s="45"/>
      <c r="L79" s="45"/>
      <c r="M79" s="45"/>
      <c r="N79" s="194"/>
      <c r="O79" s="45"/>
      <c r="P79" s="45"/>
      <c r="Q79" s="45"/>
      <c r="R79" s="45"/>
      <c r="S79" s="44"/>
    </row>
    <row r="80" spans="1:19" ht="12.75" customHeight="1">
      <c r="A80" s="137"/>
      <c r="B80" s="42"/>
      <c r="C80" s="42"/>
      <c r="D80" s="3" t="s">
        <v>419</v>
      </c>
      <c r="E80" s="45"/>
      <c r="F80" s="45"/>
      <c r="G80" s="45"/>
      <c r="H80" s="45"/>
      <c r="I80" s="45"/>
      <c r="J80" s="45"/>
      <c r="K80" s="45"/>
      <c r="L80" s="301"/>
      <c r="M80" s="302"/>
      <c r="N80" s="303"/>
      <c r="O80" s="302"/>
      <c r="P80" s="45"/>
      <c r="Q80" s="45"/>
      <c r="R80" s="45"/>
      <c r="S80" s="44"/>
    </row>
    <row r="81" spans="1:19" ht="2.25" customHeight="1">
      <c r="A81" s="137"/>
      <c r="B81" s="42"/>
      <c r="C81" s="42"/>
      <c r="D81" s="58"/>
      <c r="E81" s="45"/>
      <c r="F81" s="45"/>
      <c r="G81" s="45"/>
      <c r="H81" s="45"/>
      <c r="I81" s="45"/>
      <c r="J81" s="45"/>
      <c r="K81" s="45"/>
      <c r="L81" s="45"/>
      <c r="M81" s="45"/>
      <c r="N81" s="160"/>
      <c r="O81" s="45"/>
      <c r="P81" s="45"/>
      <c r="Q81" s="45"/>
      <c r="R81" s="45"/>
      <c r="S81" s="44"/>
    </row>
    <row r="82" spans="1:19" ht="12.75" customHeight="1">
      <c r="A82" s="137">
        <v>15</v>
      </c>
      <c r="B82" s="46" t="s">
        <v>378</v>
      </c>
      <c r="C82" s="42"/>
      <c r="D82" s="45" t="s">
        <v>432</v>
      </c>
      <c r="E82" s="45"/>
      <c r="F82" s="45"/>
      <c r="G82" s="45"/>
      <c r="H82" s="45"/>
      <c r="I82" s="45"/>
      <c r="J82" s="45"/>
      <c r="K82" s="45"/>
      <c r="L82" s="45"/>
      <c r="M82" s="45"/>
      <c r="N82" s="161">
        <f>IF(N18=0,0,(N63-N71-N74)*4.9+N74*4.9+L76*1.2)</f>
        <v>101.56230000000002</v>
      </c>
      <c r="O82" s="45" t="s">
        <v>271</v>
      </c>
      <c r="P82" s="45"/>
      <c r="Q82" s="45"/>
      <c r="R82" s="45"/>
      <c r="S82" s="44"/>
    </row>
    <row r="83" spans="1:19" ht="12.75" customHeight="1">
      <c r="A83" s="137"/>
      <c r="B83" s="42"/>
      <c r="C83" s="42"/>
      <c r="D83" s="45"/>
      <c r="E83" s="45"/>
      <c r="F83" s="45"/>
      <c r="G83" s="45"/>
      <c r="H83" s="45"/>
      <c r="I83" s="45"/>
      <c r="J83" s="45"/>
      <c r="L83" s="7"/>
      <c r="M83" s="154"/>
      <c r="N83" s="162"/>
      <c r="O83" s="45"/>
      <c r="P83" s="45"/>
      <c r="Q83" s="45"/>
      <c r="R83" s="45"/>
      <c r="S83" s="44"/>
    </row>
    <row r="84" spans="1:19" ht="12.75" customHeight="1">
      <c r="A84" s="137">
        <v>16</v>
      </c>
      <c r="B84" s="42" t="s">
        <v>421</v>
      </c>
      <c r="C84" s="42"/>
      <c r="D84" s="46" t="s">
        <v>451</v>
      </c>
      <c r="E84" s="45"/>
      <c r="F84" s="45"/>
      <c r="G84" s="45"/>
      <c r="H84" s="45"/>
      <c r="I84" s="45"/>
      <c r="J84" s="45"/>
      <c r="K84" s="45"/>
      <c r="L84" s="45"/>
      <c r="M84" s="45"/>
      <c r="N84" s="161">
        <f>SUM(N58,N82)</f>
        <v>215.66070000000002</v>
      </c>
      <c r="O84" s="45" t="s">
        <v>271</v>
      </c>
      <c r="P84" s="45"/>
      <c r="Q84" s="45"/>
      <c r="R84" s="45"/>
      <c r="S84" s="44"/>
    </row>
    <row r="85" spans="1:19" ht="12.75" customHeight="1">
      <c r="A85" s="57"/>
      <c r="B85" s="42"/>
      <c r="C85" s="42"/>
      <c r="E85" s="45" t="s">
        <v>450</v>
      </c>
      <c r="F85" s="45"/>
      <c r="G85" s="45"/>
      <c r="H85" s="45"/>
      <c r="I85" s="45"/>
      <c r="J85" s="45"/>
      <c r="K85" s="45"/>
      <c r="L85" s="45"/>
      <c r="M85" s="148"/>
      <c r="N85" s="45"/>
      <c r="O85" s="45"/>
      <c r="P85" s="45"/>
      <c r="Q85" s="45"/>
      <c r="R85" s="45"/>
      <c r="S85" s="44"/>
    </row>
    <row r="86" spans="1:19" ht="12.75" customHeight="1">
      <c r="A86" s="57"/>
      <c r="B86" s="42"/>
      <c r="C86" s="42"/>
      <c r="D86" s="45"/>
      <c r="E86" s="45"/>
      <c r="F86" s="45"/>
      <c r="G86" s="45"/>
      <c r="H86" s="45"/>
      <c r="I86" s="45"/>
      <c r="J86" s="45"/>
      <c r="K86" s="45"/>
      <c r="L86" s="45"/>
      <c r="M86" s="148"/>
      <c r="N86" s="45"/>
      <c r="O86" s="45"/>
      <c r="P86" s="45"/>
      <c r="Q86" s="45"/>
      <c r="R86" s="45"/>
      <c r="S86" s="44"/>
    </row>
    <row r="87" spans="1:19" ht="12.75" customHeight="1">
      <c r="A87" s="46" t="s">
        <v>92</v>
      </c>
      <c r="B87" s="42"/>
      <c r="C87" s="42"/>
      <c r="D87" s="45"/>
      <c r="E87" s="45"/>
      <c r="F87" s="45"/>
      <c r="G87" s="45"/>
      <c r="H87" s="45"/>
      <c r="I87" s="45"/>
      <c r="J87" s="45"/>
      <c r="K87" s="45"/>
      <c r="L87" s="45"/>
      <c r="M87" s="148"/>
      <c r="N87" s="45"/>
      <c r="O87" s="45"/>
      <c r="P87" s="45"/>
      <c r="Q87" s="45"/>
      <c r="R87" s="45"/>
      <c r="S87" s="44"/>
    </row>
    <row r="88" spans="1:19" ht="12.75" customHeight="1">
      <c r="A88" s="57" t="s">
        <v>117</v>
      </c>
      <c r="B88" s="45" t="s">
        <v>114</v>
      </c>
      <c r="C88" s="42"/>
      <c r="D88" s="45"/>
      <c r="E88" s="45"/>
      <c r="F88" s="45"/>
      <c r="G88" s="45"/>
      <c r="H88" s="45"/>
      <c r="I88" s="45"/>
      <c r="J88" s="45"/>
      <c r="K88" s="45"/>
      <c r="L88" s="45"/>
      <c r="M88" s="148"/>
      <c r="N88" s="45"/>
      <c r="O88" s="45"/>
      <c r="P88" s="45"/>
      <c r="Q88" s="45"/>
      <c r="R88" s="45"/>
      <c r="S88" s="44"/>
    </row>
    <row r="89" spans="1:19" ht="12.75" customHeight="1">
      <c r="A89" s="57" t="s">
        <v>118</v>
      </c>
      <c r="B89" s="45" t="s">
        <v>34</v>
      </c>
      <c r="C89" s="42"/>
      <c r="D89" s="45"/>
      <c r="E89" s="45"/>
      <c r="F89" s="45"/>
      <c r="G89" s="45"/>
      <c r="H89" s="45"/>
      <c r="I89" s="45"/>
      <c r="J89" s="45"/>
      <c r="K89" s="45"/>
      <c r="L89" s="45"/>
      <c r="M89" s="148"/>
      <c r="N89" s="45"/>
      <c r="O89" s="45"/>
      <c r="P89" s="45"/>
      <c r="Q89" s="45"/>
      <c r="R89" s="45"/>
      <c r="S89" s="44"/>
    </row>
    <row r="90" spans="1:19" ht="12.75" customHeight="1">
      <c r="A90" s="57"/>
      <c r="B90" s="45" t="s">
        <v>297</v>
      </c>
      <c r="C90" s="42"/>
      <c r="D90" s="45"/>
      <c r="E90" s="45"/>
      <c r="F90" s="45"/>
      <c r="G90" s="45"/>
      <c r="H90" s="45"/>
      <c r="I90" s="45"/>
      <c r="J90" s="45"/>
      <c r="K90" s="45"/>
      <c r="L90" s="45"/>
      <c r="M90" s="148"/>
      <c r="N90" s="45"/>
      <c r="O90" s="45"/>
      <c r="P90" s="45"/>
      <c r="Q90" s="45"/>
      <c r="R90" s="45"/>
      <c r="S90" s="44"/>
    </row>
    <row r="91" spans="1:19" ht="12.75" customHeight="1">
      <c r="A91" s="57" t="s">
        <v>119</v>
      </c>
      <c r="B91" s="45" t="s">
        <v>306</v>
      </c>
      <c r="C91" s="42"/>
      <c r="D91" s="45"/>
      <c r="E91" s="45"/>
      <c r="F91" s="45"/>
      <c r="G91" s="45"/>
      <c r="H91" s="45"/>
      <c r="I91" s="45"/>
      <c r="J91" s="45"/>
      <c r="K91" s="45"/>
      <c r="L91" s="45"/>
      <c r="M91" s="148"/>
      <c r="N91" s="45"/>
      <c r="O91" s="45"/>
      <c r="P91" s="45"/>
      <c r="Q91" s="45"/>
      <c r="R91" s="45"/>
      <c r="S91" s="44"/>
    </row>
    <row r="92" spans="1:19" ht="12.75" customHeight="1">
      <c r="A92" s="57"/>
      <c r="B92" s="45" t="s">
        <v>298</v>
      </c>
      <c r="C92" s="42"/>
      <c r="D92" s="45"/>
      <c r="E92" s="45"/>
      <c r="F92" s="45"/>
      <c r="G92" s="45"/>
      <c r="H92" s="45"/>
      <c r="I92" s="45"/>
      <c r="J92" s="45"/>
      <c r="K92" s="45"/>
      <c r="L92" s="45"/>
      <c r="M92" s="148"/>
      <c r="N92" s="45"/>
      <c r="O92" s="45"/>
      <c r="P92" s="45"/>
      <c r="Q92" s="45"/>
      <c r="R92" s="45"/>
      <c r="S92" s="44"/>
    </row>
    <row r="93" spans="1:19" ht="12.75" customHeight="1">
      <c r="A93" s="57" t="s">
        <v>120</v>
      </c>
      <c r="B93" s="45" t="s">
        <v>371</v>
      </c>
      <c r="C93" s="42"/>
      <c r="D93" s="45"/>
      <c r="E93" s="45"/>
      <c r="F93" s="45"/>
      <c r="G93" s="45"/>
      <c r="H93" s="45"/>
      <c r="I93" s="45"/>
      <c r="J93" s="45"/>
      <c r="K93" s="45"/>
      <c r="L93" s="45"/>
      <c r="M93" s="148"/>
      <c r="N93" s="45"/>
      <c r="O93" s="45"/>
      <c r="P93" s="45"/>
      <c r="Q93" s="45"/>
      <c r="R93" s="45"/>
      <c r="S93" s="44"/>
    </row>
    <row r="94" spans="1:19" ht="12.75" customHeight="1">
      <c r="A94" s="57" t="s">
        <v>121</v>
      </c>
      <c r="B94" s="45" t="s">
        <v>370</v>
      </c>
      <c r="C94" s="42"/>
      <c r="D94" s="45"/>
      <c r="E94" s="45"/>
      <c r="F94" s="45"/>
      <c r="G94" s="45"/>
      <c r="H94" s="45"/>
      <c r="I94" s="45"/>
      <c r="J94" s="45"/>
      <c r="K94" s="45"/>
      <c r="L94" s="45"/>
      <c r="M94" s="148"/>
      <c r="N94" s="45"/>
      <c r="O94" s="45"/>
      <c r="P94" s="45"/>
      <c r="Q94" s="45"/>
      <c r="R94" s="45"/>
      <c r="S94" s="44"/>
    </row>
    <row r="95" spans="1:19">
      <c r="A95" s="57" t="s">
        <v>122</v>
      </c>
      <c r="B95" s="45" t="s">
        <v>48</v>
      </c>
      <c r="C95" s="42"/>
      <c r="D95" s="44"/>
      <c r="E95" s="44"/>
      <c r="F95" s="44"/>
      <c r="G95" s="44"/>
      <c r="H95" s="44"/>
      <c r="I95" s="44"/>
      <c r="J95" s="44"/>
      <c r="K95" s="44"/>
      <c r="L95" s="44"/>
      <c r="M95" s="44"/>
      <c r="N95" s="44"/>
      <c r="O95" s="44"/>
      <c r="P95" s="44"/>
      <c r="Q95" s="44"/>
      <c r="R95" s="44"/>
      <c r="S95" s="44"/>
    </row>
    <row r="96" spans="1:19">
      <c r="A96" s="57" t="s">
        <v>123</v>
      </c>
      <c r="B96" s="3" t="s">
        <v>365</v>
      </c>
    </row>
    <row r="97" spans="1:12">
      <c r="A97" s="57"/>
      <c r="B97" s="3"/>
    </row>
    <row r="98" spans="1:12">
      <c r="A98" s="7"/>
      <c r="B98" s="435" t="s">
        <v>240</v>
      </c>
      <c r="C98" s="436"/>
      <c r="D98" s="437"/>
      <c r="E98" s="132" t="s">
        <v>254</v>
      </c>
      <c r="F98" s="97"/>
      <c r="G98" s="96"/>
      <c r="H98" s="98"/>
      <c r="I98" s="133"/>
      <c r="J98" s="134"/>
      <c r="K98" s="97" t="s">
        <v>326</v>
      </c>
      <c r="L98" s="99" t="s">
        <v>327</v>
      </c>
    </row>
    <row r="99" spans="1:12">
      <c r="B99" s="100" t="s">
        <v>237</v>
      </c>
      <c r="C99" s="135"/>
      <c r="D99" s="94"/>
      <c r="E99" s="101" t="s">
        <v>241</v>
      </c>
      <c r="F99" s="5"/>
      <c r="G99" s="5"/>
      <c r="H99" s="135"/>
      <c r="I99" s="135"/>
      <c r="J99" s="102"/>
      <c r="K99" s="79">
        <v>0</v>
      </c>
      <c r="L99" s="87">
        <v>0</v>
      </c>
    </row>
    <row r="100" spans="1:12">
      <c r="B100" s="100"/>
      <c r="C100" s="135"/>
      <c r="D100" s="94"/>
      <c r="E100" s="101" t="s">
        <v>342</v>
      </c>
      <c r="F100" s="5"/>
      <c r="G100" s="5"/>
      <c r="H100" s="135"/>
      <c r="I100" s="135"/>
      <c r="J100" s="102"/>
      <c r="K100" s="79"/>
      <c r="L100" s="87"/>
    </row>
    <row r="101" spans="1:12">
      <c r="B101" s="100"/>
      <c r="C101" s="135"/>
      <c r="D101" s="94"/>
      <c r="E101" s="101" t="s">
        <v>343</v>
      </c>
      <c r="F101" s="5"/>
      <c r="G101" s="5"/>
      <c r="H101" s="135"/>
      <c r="I101" s="135"/>
      <c r="J101" s="102"/>
      <c r="K101" s="79"/>
      <c r="L101" s="87"/>
    </row>
    <row r="102" spans="1:12">
      <c r="B102" s="100"/>
      <c r="C102" s="135"/>
      <c r="D102" s="94"/>
      <c r="E102" s="101" t="s">
        <v>344</v>
      </c>
      <c r="F102" s="5"/>
      <c r="G102" s="5"/>
      <c r="H102" s="135"/>
      <c r="I102" s="135"/>
      <c r="J102" s="102"/>
      <c r="K102" s="79"/>
      <c r="L102" s="87"/>
    </row>
    <row r="103" spans="1:12">
      <c r="B103" s="100"/>
      <c r="C103" s="135"/>
      <c r="D103" s="94"/>
      <c r="E103" s="101" t="s">
        <v>366</v>
      </c>
      <c r="F103" s="5"/>
      <c r="G103" s="5"/>
      <c r="H103" s="135"/>
      <c r="I103" s="135"/>
      <c r="J103" s="102"/>
      <c r="K103" s="79"/>
      <c r="L103" s="87"/>
    </row>
    <row r="104" spans="1:12">
      <c r="B104" s="100"/>
      <c r="C104" s="135"/>
      <c r="D104" s="94"/>
      <c r="E104" s="101" t="s">
        <v>345</v>
      </c>
      <c r="F104" s="5"/>
      <c r="G104" s="5"/>
      <c r="H104" s="135"/>
      <c r="I104" s="135"/>
      <c r="J104" s="102"/>
      <c r="K104" s="79"/>
      <c r="L104" s="87"/>
    </row>
    <row r="105" spans="1:12">
      <c r="B105" s="100"/>
      <c r="C105" s="135"/>
      <c r="D105" s="94"/>
      <c r="E105" s="101" t="s">
        <v>346</v>
      </c>
      <c r="F105" s="5"/>
      <c r="G105" s="5"/>
      <c r="H105" s="135"/>
      <c r="I105" s="135"/>
      <c r="J105" s="102"/>
      <c r="K105" s="79"/>
      <c r="L105" s="87"/>
    </row>
    <row r="106" spans="1:12">
      <c r="B106" s="100"/>
      <c r="C106" s="135"/>
      <c r="D106" s="94"/>
      <c r="E106" s="101" t="s">
        <v>347</v>
      </c>
      <c r="F106" s="5"/>
      <c r="G106" s="5"/>
      <c r="H106" s="135"/>
      <c r="I106" s="135"/>
      <c r="J106" s="102"/>
      <c r="K106" s="79"/>
      <c r="L106" s="87"/>
    </row>
    <row r="107" spans="1:12">
      <c r="B107" s="100"/>
      <c r="C107" s="135"/>
      <c r="D107" s="94"/>
      <c r="E107" s="101" t="s">
        <v>348</v>
      </c>
      <c r="F107" s="5"/>
      <c r="G107" s="5"/>
      <c r="H107" s="135"/>
      <c r="I107" s="135"/>
      <c r="J107" s="102"/>
      <c r="K107" s="79"/>
      <c r="L107" s="87"/>
    </row>
    <row r="108" spans="1:12">
      <c r="B108" s="100"/>
      <c r="C108" s="135"/>
      <c r="D108" s="94"/>
      <c r="E108" s="101" t="s">
        <v>349</v>
      </c>
      <c r="F108" s="5"/>
      <c r="G108" s="5"/>
      <c r="H108" s="135"/>
      <c r="I108" s="135"/>
      <c r="J108" s="102"/>
      <c r="K108" s="79"/>
      <c r="L108" s="87"/>
    </row>
    <row r="109" spans="1:12">
      <c r="B109" s="100"/>
      <c r="C109" s="135"/>
      <c r="D109" s="94"/>
      <c r="E109" s="101" t="s">
        <v>350</v>
      </c>
      <c r="F109" s="5"/>
      <c r="G109" s="5"/>
      <c r="H109" s="135"/>
      <c r="I109" s="135"/>
      <c r="J109" s="102"/>
      <c r="K109" s="79"/>
      <c r="L109" s="87"/>
    </row>
    <row r="110" spans="1:12">
      <c r="B110" s="100"/>
      <c r="C110" s="135"/>
      <c r="D110" s="94"/>
      <c r="E110" s="101" t="s">
        <v>351</v>
      </c>
      <c r="F110" s="5"/>
      <c r="G110" s="5"/>
      <c r="H110" s="135"/>
      <c r="I110" s="135"/>
      <c r="J110" s="102"/>
      <c r="K110" s="79"/>
      <c r="L110" s="87"/>
    </row>
    <row r="111" spans="1:12">
      <c r="B111" s="272"/>
      <c r="C111" s="136"/>
      <c r="D111" s="278"/>
      <c r="E111" s="273" t="s">
        <v>352</v>
      </c>
      <c r="F111" s="92"/>
      <c r="G111" s="92"/>
      <c r="H111" s="136"/>
      <c r="I111" s="136"/>
      <c r="J111" s="274"/>
      <c r="K111" s="279"/>
      <c r="L111" s="280"/>
    </row>
    <row r="112" spans="1:12">
      <c r="B112" s="281" t="s">
        <v>238</v>
      </c>
      <c r="C112" s="282"/>
      <c r="D112" s="283"/>
      <c r="E112" s="284" t="s">
        <v>353</v>
      </c>
      <c r="F112" s="285"/>
      <c r="G112" s="285"/>
      <c r="H112" s="282"/>
      <c r="I112" s="282"/>
      <c r="J112" s="286"/>
      <c r="K112" s="287">
        <v>0.3</v>
      </c>
      <c r="L112" s="288">
        <v>0.3</v>
      </c>
    </row>
    <row r="113" spans="2:12">
      <c r="B113" s="272"/>
      <c r="C113" s="136"/>
      <c r="D113" s="278"/>
      <c r="E113" s="273" t="s">
        <v>354</v>
      </c>
      <c r="F113" s="92"/>
      <c r="G113" s="92"/>
      <c r="H113" s="136"/>
      <c r="I113" s="136"/>
      <c r="J113" s="274"/>
      <c r="K113" s="279"/>
      <c r="L113" s="280"/>
    </row>
    <row r="114" spans="2:12">
      <c r="B114" s="100" t="s">
        <v>248</v>
      </c>
      <c r="C114" s="135"/>
      <c r="D114" s="94"/>
      <c r="E114" s="101" t="s">
        <v>355</v>
      </c>
      <c r="F114" s="5"/>
      <c r="G114" s="5"/>
      <c r="H114" s="135"/>
      <c r="I114" s="135"/>
      <c r="J114" s="102"/>
      <c r="K114" s="79">
        <v>0.8</v>
      </c>
      <c r="L114" s="87">
        <v>0.8</v>
      </c>
    </row>
    <row r="115" spans="2:12">
      <c r="B115" s="273"/>
      <c r="C115" s="136"/>
      <c r="D115" s="278"/>
      <c r="E115" s="273" t="s">
        <v>356</v>
      </c>
      <c r="F115" s="92"/>
      <c r="G115" s="92"/>
      <c r="H115" s="136"/>
      <c r="I115" s="136"/>
      <c r="J115" s="274"/>
      <c r="K115" s="279"/>
      <c r="L115" s="280"/>
    </row>
    <row r="116" spans="2:12">
      <c r="B116" s="100" t="s">
        <v>357</v>
      </c>
      <c r="C116" s="135"/>
      <c r="D116" s="94"/>
      <c r="E116" s="101" t="s">
        <v>358</v>
      </c>
      <c r="F116" s="5"/>
      <c r="G116" s="5"/>
      <c r="H116" s="135"/>
      <c r="I116" s="135"/>
      <c r="J116" s="102"/>
      <c r="K116" s="89">
        <v>0.2</v>
      </c>
      <c r="L116" s="90">
        <v>0.2</v>
      </c>
    </row>
    <row r="117" spans="2:12">
      <c r="B117" s="100"/>
      <c r="C117" s="135"/>
      <c r="D117" s="95"/>
      <c r="E117" s="101" t="s">
        <v>359</v>
      </c>
      <c r="F117" s="5"/>
      <c r="G117" s="5"/>
      <c r="H117" s="135"/>
      <c r="I117" s="135"/>
      <c r="J117" s="102"/>
      <c r="K117" s="89"/>
      <c r="L117" s="90"/>
    </row>
    <row r="118" spans="2:12">
      <c r="B118" s="272"/>
      <c r="C118" s="136"/>
      <c r="D118" s="93"/>
      <c r="E118" s="273" t="s">
        <v>360</v>
      </c>
      <c r="F118" s="92"/>
      <c r="G118" s="92"/>
      <c r="H118" s="136"/>
      <c r="I118" s="136"/>
      <c r="J118" s="274"/>
      <c r="K118" s="275"/>
      <c r="L118" s="276"/>
    </row>
    <row r="119" spans="2:12">
      <c r="B119" s="100" t="s">
        <v>361</v>
      </c>
      <c r="C119" s="135"/>
      <c r="D119" s="95"/>
      <c r="E119" s="101" t="s">
        <v>362</v>
      </c>
      <c r="F119" s="5"/>
      <c r="G119" s="5"/>
      <c r="H119" s="135"/>
      <c r="I119" s="135"/>
      <c r="J119" s="102"/>
      <c r="K119" s="89">
        <v>0.8</v>
      </c>
      <c r="L119" s="90">
        <v>0.8</v>
      </c>
    </row>
    <row r="120" spans="2:12">
      <c r="B120" s="100"/>
      <c r="C120" s="135"/>
      <c r="D120" s="95"/>
      <c r="E120" s="101" t="s">
        <v>24</v>
      </c>
      <c r="F120" s="5"/>
      <c r="G120" s="5"/>
      <c r="H120" s="135"/>
      <c r="I120" s="135"/>
      <c r="J120" s="102"/>
      <c r="K120" s="89"/>
      <c r="L120" s="90"/>
    </row>
    <row r="121" spans="2:12">
      <c r="B121" s="91"/>
      <c r="C121" s="136"/>
      <c r="D121" s="93"/>
      <c r="E121" s="91"/>
      <c r="F121" s="92"/>
      <c r="G121" s="92"/>
      <c r="H121" s="136"/>
      <c r="I121" s="136"/>
      <c r="J121" s="93"/>
      <c r="K121" s="92"/>
      <c r="L121" s="93"/>
    </row>
  </sheetData>
  <sheetProtection password="D286" sheet="1" objects="1" scenarios="1" selectLockedCells="1"/>
  <mergeCells count="2">
    <mergeCell ref="C3:N3"/>
    <mergeCell ref="B98:D98"/>
  </mergeCells>
  <phoneticPr fontId="2" type="noConversion"/>
  <pageMargins left="0.39370078740157483" right="0.27559055118110237" top="0.62992125984251968" bottom="0.98425196850393704" header="0.51181102362204722" footer="0.25"/>
  <pageSetup paperSize="9" scale="85" fitToHeight="0" orientation="portrait" useFirstPageNumber="1" r:id="rId1"/>
  <headerFooter alignWithMargins="0">
    <oddFooter>&amp;CSTW 1</oddFooter>
  </headerFooter>
  <rowBreaks count="1" manualBreakCount="1">
    <brk id="61" max="14" man="1"/>
  </rowBreaks>
</worksheet>
</file>

<file path=xl/worksheets/sheet9.xml><?xml version="1.0" encoding="utf-8"?>
<worksheet xmlns="http://schemas.openxmlformats.org/spreadsheetml/2006/main" xmlns:r="http://schemas.openxmlformats.org/officeDocument/2006/relationships">
  <sheetPr codeName="Sheet9" enableFormatConditionsCalculation="0">
    <tabColor indexed="13"/>
  </sheetPr>
  <dimension ref="A1:D14"/>
  <sheetViews>
    <sheetView view="pageBreakPreview" zoomScaleNormal="100" workbookViewId="0">
      <pane xSplit="1" ySplit="2" topLeftCell="B3" activePane="bottomRight" state="frozen"/>
      <selection activeCell="C5" sqref="C5:N5"/>
      <selection pane="topRight" activeCell="C5" sqref="C5:N5"/>
      <selection pane="bottomLeft" activeCell="C5" sqref="C5:N5"/>
      <selection pane="bottomRight" activeCell="A3" sqref="A3"/>
    </sheetView>
  </sheetViews>
  <sheetFormatPr defaultRowHeight="12.75"/>
  <cols>
    <col min="1" max="1" width="46.5703125" bestFit="1" customWidth="1"/>
    <col min="2" max="2" width="37.42578125" customWidth="1"/>
    <col min="3" max="3" width="36.85546875" customWidth="1"/>
    <col min="4" max="4" width="43.42578125" customWidth="1"/>
  </cols>
  <sheetData>
    <row r="1" spans="1:4" s="1" customFormat="1" ht="20.25" customHeight="1" thickBot="1">
      <c r="A1" s="411" t="s">
        <v>50</v>
      </c>
      <c r="B1" s="147"/>
      <c r="C1" s="147"/>
      <c r="D1" s="147"/>
    </row>
    <row r="2" spans="1:4" ht="21.75" customHeight="1">
      <c r="A2" s="29" t="s">
        <v>201</v>
      </c>
      <c r="B2" s="29" t="s">
        <v>193</v>
      </c>
      <c r="C2" s="29" t="s">
        <v>194</v>
      </c>
      <c r="D2" s="30" t="s">
        <v>195</v>
      </c>
    </row>
    <row r="3" spans="1:4" ht="62.25" customHeight="1">
      <c r="A3" s="31" t="s">
        <v>189</v>
      </c>
      <c r="B3" s="33" t="s">
        <v>202</v>
      </c>
      <c r="C3" s="33" t="s">
        <v>203</v>
      </c>
      <c r="D3" s="34" t="s">
        <v>204</v>
      </c>
    </row>
    <row r="4" spans="1:4" ht="62.25" customHeight="1">
      <c r="A4" s="31" t="s">
        <v>187</v>
      </c>
      <c r="B4" s="33" t="s">
        <v>200</v>
      </c>
      <c r="C4" s="33" t="s">
        <v>200</v>
      </c>
      <c r="D4" s="34" t="s">
        <v>210</v>
      </c>
    </row>
    <row r="5" spans="1:4" ht="62.25" customHeight="1">
      <c r="A5" s="31" t="s">
        <v>177</v>
      </c>
      <c r="B5" s="33" t="s">
        <v>213</v>
      </c>
      <c r="C5" s="33" t="s">
        <v>214</v>
      </c>
      <c r="D5" s="34" t="s">
        <v>209</v>
      </c>
    </row>
    <row r="6" spans="1:4" ht="62.25" customHeight="1">
      <c r="A6" s="31" t="s">
        <v>168</v>
      </c>
      <c r="B6" s="33" t="s">
        <v>200</v>
      </c>
      <c r="C6" s="33" t="s">
        <v>200</v>
      </c>
      <c r="D6" s="34" t="s">
        <v>205</v>
      </c>
    </row>
    <row r="7" spans="1:4" ht="62.25" customHeight="1">
      <c r="A7" s="31" t="s">
        <v>176</v>
      </c>
      <c r="B7" s="33" t="s">
        <v>215</v>
      </c>
      <c r="C7" s="33" t="s">
        <v>216</v>
      </c>
      <c r="D7" s="34" t="s">
        <v>206</v>
      </c>
    </row>
    <row r="8" spans="1:4" ht="62.25" customHeight="1">
      <c r="A8" s="31" t="s">
        <v>190</v>
      </c>
      <c r="B8" s="33" t="s">
        <v>200</v>
      </c>
      <c r="C8" s="33" t="s">
        <v>217</v>
      </c>
      <c r="D8" s="34" t="s">
        <v>200</v>
      </c>
    </row>
    <row r="9" spans="1:4" ht="56.25" customHeight="1">
      <c r="A9" s="36" t="s">
        <v>152</v>
      </c>
      <c r="B9" s="37" t="s">
        <v>200</v>
      </c>
      <c r="C9" s="37" t="s">
        <v>200</v>
      </c>
      <c r="D9" s="49" t="s">
        <v>218</v>
      </c>
    </row>
    <row r="10" spans="1:4" ht="18.75" customHeight="1">
      <c r="A10" s="36"/>
      <c r="B10" s="53"/>
      <c r="C10" s="138"/>
      <c r="D10" s="139"/>
    </row>
    <row r="11" spans="1:4" ht="66.75" customHeight="1" thickBot="1">
      <c r="A11" s="32" t="s">
        <v>207</v>
      </c>
      <c r="B11" s="460" t="s">
        <v>208</v>
      </c>
      <c r="C11" s="461"/>
      <c r="D11" s="462"/>
    </row>
    <row r="14" spans="1:4">
      <c r="A14" s="35"/>
    </row>
  </sheetData>
  <mergeCells count="1">
    <mergeCell ref="B11:D11"/>
  </mergeCells>
  <phoneticPr fontId="2" type="noConversion"/>
  <pageMargins left="0.4" right="0.35" top="0.5" bottom="0.48" header="0.5" footer="0.5"/>
  <pageSetup paperSize="9" scale="75" firstPageNumber="7" orientation="landscape" useFirstPageNumber="1" r:id="rId1"/>
  <headerFooter alignWithMargins="0">
    <oddFooter>&amp;CExamples of Common Emission 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OVERVIEW</vt:lpstr>
      <vt:lpstr>Instructions</vt:lpstr>
      <vt:lpstr>Emissions</vt:lpstr>
      <vt:lpstr>STW 1</vt:lpstr>
      <vt:lpstr>STW Graphs</vt:lpstr>
      <vt:lpstr>STW Assumptions</vt:lpstr>
      <vt:lpstr>Example</vt:lpstr>
      <vt:lpstr>Example STW</vt:lpstr>
      <vt:lpstr>Emission Source Examples</vt:lpstr>
      <vt:lpstr>STW 2</vt:lpstr>
      <vt:lpstr>STW 3</vt:lpstr>
      <vt:lpstr>STW 4</vt:lpstr>
      <vt:lpstr>STW 5</vt:lpstr>
      <vt:lpstr>STW 6</vt:lpstr>
      <vt:lpstr>STW 7</vt:lpstr>
      <vt:lpstr>STW 8</vt:lpstr>
      <vt:lpstr>STW 9</vt:lpstr>
      <vt:lpstr>STW 10</vt:lpstr>
      <vt:lpstr>'Emission Source Examples'!Print_Area</vt:lpstr>
      <vt:lpstr>Emissions!Print_Area</vt:lpstr>
      <vt:lpstr>Example!Print_Area</vt:lpstr>
      <vt:lpstr>'Example STW'!Print_Area</vt:lpstr>
      <vt:lpstr>Instructions!Print_Area</vt:lpstr>
      <vt:lpstr>OVERVIEW!Print_Area</vt:lpstr>
      <vt:lpstr>'STW 1'!Print_Area</vt:lpstr>
      <vt:lpstr>'STW 10'!Print_Area</vt:lpstr>
      <vt:lpstr>'STW 2'!Print_Area</vt:lpstr>
      <vt:lpstr>'STW 3'!Print_Area</vt:lpstr>
      <vt:lpstr>'STW 4'!Print_Area</vt:lpstr>
      <vt:lpstr>'STW 5'!Print_Area</vt:lpstr>
      <vt:lpstr>'STW 6'!Print_Area</vt:lpstr>
      <vt:lpstr>'STW 7'!Print_Area</vt:lpstr>
      <vt:lpstr>'STW 8'!Print_Area</vt:lpstr>
      <vt:lpstr>'STW 9'!Print_Area</vt:lpstr>
      <vt:lpstr>'STW Assumptions'!Print_Area</vt:lpstr>
      <vt:lpstr>'STW Graphs'!Print_Area</vt:lpstr>
      <vt:lpstr>Emissions!Print_Titles</vt:lpstr>
      <vt:lpstr>Example!Print_Titles</vt:lpstr>
      <vt:lpstr>'STW Assumptions'!Print_Titles</vt:lpstr>
    </vt:vector>
  </TitlesOfParts>
  <Company>Department of Energy, Utilites and Sustainability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vaughana</dc:creator>
  <cp:lastModifiedBy>Scheltinga</cp:lastModifiedBy>
  <cp:lastPrinted>2011-09-07T23:05:56Z</cp:lastPrinted>
  <dcterms:created xsi:type="dcterms:W3CDTF">2010-06-01T02:24:51Z</dcterms:created>
  <dcterms:modified xsi:type="dcterms:W3CDTF">2012-08-21T00:35:01Z</dcterms:modified>
</cp:coreProperties>
</file>